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1"/>
  </bookViews>
  <sheets>
    <sheet name="casa 42" sheetId="5" r:id="rId1"/>
    <sheet name="Planilha4 (2)" sheetId="6" r:id="rId2"/>
  </sheets>
  <definedNames>
    <definedName name="_xlnm.Print_Area" localSheetId="0">'casa 42'!$A$1:$J$163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6" i="6"/>
  <c r="I6" i="5"/>
  <c r="I5" s="1"/>
  <c r="J6"/>
  <c r="J5" s="1"/>
  <c r="I8"/>
  <c r="H8"/>
  <c r="J8" s="1"/>
  <c r="F155"/>
  <c r="O54" i="6"/>
  <c r="O52"/>
  <c r="O50"/>
  <c r="O48"/>
  <c r="O46"/>
  <c r="O44"/>
  <c r="O42"/>
  <c r="O40"/>
  <c r="O38"/>
  <c r="O36"/>
  <c r="O34"/>
  <c r="O32"/>
  <c r="O30"/>
  <c r="O28"/>
  <c r="O26"/>
  <c r="O24"/>
  <c r="O22"/>
  <c r="O20"/>
  <c r="O18"/>
  <c r="O16"/>
  <c r="O14"/>
  <c r="O12"/>
  <c r="B53"/>
  <c r="A53"/>
  <c r="C51"/>
  <c r="M51" s="1"/>
  <c r="O51" s="1"/>
  <c r="B51"/>
  <c r="A51"/>
  <c r="C49"/>
  <c r="N49" s="1"/>
  <c r="O49" s="1"/>
  <c r="B49"/>
  <c r="A49"/>
  <c r="A55"/>
  <c r="C47"/>
  <c r="M47" s="1"/>
  <c r="O47" s="1"/>
  <c r="B47"/>
  <c r="A47"/>
  <c r="C45"/>
  <c r="M45" s="1"/>
  <c r="O45" s="1"/>
  <c r="B45"/>
  <c r="A45"/>
  <c r="C43"/>
  <c r="K43" s="1"/>
  <c r="B43"/>
  <c r="A43"/>
  <c r="C41"/>
  <c r="K41" s="1"/>
  <c r="O41" s="1"/>
  <c r="B41"/>
  <c r="A41"/>
  <c r="C39"/>
  <c r="K39" s="1"/>
  <c r="O39" s="1"/>
  <c r="B39"/>
  <c r="A39"/>
  <c r="C37"/>
  <c r="N37" s="1"/>
  <c r="O37" s="1"/>
  <c r="B37"/>
  <c r="A37"/>
  <c r="B35"/>
  <c r="A35"/>
  <c r="B33"/>
  <c r="A33"/>
  <c r="B31"/>
  <c r="A31"/>
  <c r="B29"/>
  <c r="A29"/>
  <c r="B27"/>
  <c r="A27"/>
  <c r="B25"/>
  <c r="A25"/>
  <c r="B23"/>
  <c r="A23"/>
  <c r="B21"/>
  <c r="A21"/>
  <c r="B19"/>
  <c r="A19"/>
  <c r="B17"/>
  <c r="A17"/>
  <c r="B15"/>
  <c r="A15"/>
  <c r="B13"/>
  <c r="A13"/>
  <c r="A11"/>
  <c r="B11"/>
  <c r="F143" i="5"/>
  <c r="I143" s="1"/>
  <c r="F140"/>
  <c r="I140" s="1"/>
  <c r="F136"/>
  <c r="F137" s="1"/>
  <c r="I137" s="1"/>
  <c r="F128"/>
  <c r="I128" s="1"/>
  <c r="F153"/>
  <c r="I153" s="1"/>
  <c r="I152" s="1"/>
  <c r="F148"/>
  <c r="F151" s="1"/>
  <c r="F146"/>
  <c r="F150" s="1"/>
  <c r="F139"/>
  <c r="F138"/>
  <c r="F133"/>
  <c r="N146"/>
  <c r="L148"/>
  <c r="L23"/>
  <c r="F23" s="1"/>
  <c r="L22"/>
  <c r="F22" s="1"/>
  <c r="L11"/>
  <c r="L123"/>
  <c r="F123" s="1"/>
  <c r="I123" s="1"/>
  <c r="L121"/>
  <c r="F121" s="1"/>
  <c r="I121" s="1"/>
  <c r="L122"/>
  <c r="L118"/>
  <c r="F118" s="1"/>
  <c r="L117"/>
  <c r="L119" s="1"/>
  <c r="F119" s="1"/>
  <c r="I119" s="1"/>
  <c r="F122"/>
  <c r="J122" s="1"/>
  <c r="F115"/>
  <c r="F114"/>
  <c r="F113"/>
  <c r="I113" s="1"/>
  <c r="F112"/>
  <c r="F111"/>
  <c r="F110"/>
  <c r="I110" s="1"/>
  <c r="F109"/>
  <c r="F108"/>
  <c r="F107"/>
  <c r="F105"/>
  <c r="F104"/>
  <c r="F103"/>
  <c r="I103" s="1"/>
  <c r="F102"/>
  <c r="F101"/>
  <c r="I101" s="1"/>
  <c r="F100"/>
  <c r="I100" s="1"/>
  <c r="F99"/>
  <c r="F98"/>
  <c r="I98" s="1"/>
  <c r="F97"/>
  <c r="I97" s="1"/>
  <c r="F96"/>
  <c r="I96" s="1"/>
  <c r="F95"/>
  <c r="F93"/>
  <c r="F90"/>
  <c r="I90" s="1"/>
  <c r="F89"/>
  <c r="F88"/>
  <c r="F87"/>
  <c r="F86"/>
  <c r="F85"/>
  <c r="J85" s="1"/>
  <c r="F84"/>
  <c r="F83"/>
  <c r="F82"/>
  <c r="I82" s="1"/>
  <c r="F81"/>
  <c r="F80"/>
  <c r="I80" s="1"/>
  <c r="F78"/>
  <c r="I78" s="1"/>
  <c r="F77"/>
  <c r="J77" s="1"/>
  <c r="F76"/>
  <c r="F75"/>
  <c r="F74"/>
  <c r="F73"/>
  <c r="F72"/>
  <c r="I72" s="1"/>
  <c r="F71"/>
  <c r="F70"/>
  <c r="F68"/>
  <c r="I68" s="1"/>
  <c r="F67"/>
  <c r="I67" s="1"/>
  <c r="F66"/>
  <c r="F65"/>
  <c r="F64"/>
  <c r="F63"/>
  <c r="F62"/>
  <c r="I62" s="1"/>
  <c r="F61"/>
  <c r="F60"/>
  <c r="F59"/>
  <c r="I59" s="1"/>
  <c r="F58"/>
  <c r="F54"/>
  <c r="F49"/>
  <c r="L55"/>
  <c r="F55" s="1"/>
  <c r="L54"/>
  <c r="L52"/>
  <c r="F52" s="1"/>
  <c r="L51"/>
  <c r="F51" s="1"/>
  <c r="L50"/>
  <c r="F50" s="1"/>
  <c r="L49"/>
  <c r="L48"/>
  <c r="F48" s="1"/>
  <c r="I48" s="1"/>
  <c r="L47"/>
  <c r="F47" s="1"/>
  <c r="F44"/>
  <c r="I44" s="1"/>
  <c r="F38"/>
  <c r="F37"/>
  <c r="I37" s="1"/>
  <c r="F35"/>
  <c r="F34"/>
  <c r="I34" s="1"/>
  <c r="F32"/>
  <c r="J32" s="1"/>
  <c r="F31"/>
  <c r="I31" s="1"/>
  <c r="F21"/>
  <c r="I21" s="1"/>
  <c r="F12"/>
  <c r="F11"/>
  <c r="L45"/>
  <c r="F45" s="1"/>
  <c r="I45" s="1"/>
  <c r="L43"/>
  <c r="F43" s="1"/>
  <c r="I43" s="1"/>
  <c r="L42"/>
  <c r="F42" s="1"/>
  <c r="J42" s="1"/>
  <c r="L41"/>
  <c r="F41" s="1"/>
  <c r="I41" s="1"/>
  <c r="L40"/>
  <c r="F40" s="1"/>
  <c r="I40" s="1"/>
  <c r="L36"/>
  <c r="F36" s="1"/>
  <c r="L30"/>
  <c r="F30" s="1"/>
  <c r="I30" s="1"/>
  <c r="L27"/>
  <c r="F27" s="1"/>
  <c r="L28"/>
  <c r="F28" s="1"/>
  <c r="L26"/>
  <c r="F26" s="1"/>
  <c r="L25"/>
  <c r="F25" s="1"/>
  <c r="I25" s="1"/>
  <c r="L21"/>
  <c r="L24" s="1"/>
  <c r="F24" s="1"/>
  <c r="L19"/>
  <c r="F19" s="1"/>
  <c r="L18"/>
  <c r="F18" s="1"/>
  <c r="L17"/>
  <c r="F17" s="1"/>
  <c r="L16"/>
  <c r="F16" s="1"/>
  <c r="L15"/>
  <c r="F15" s="1"/>
  <c r="L13"/>
  <c r="F13" s="1"/>
  <c r="L10"/>
  <c r="F10" s="1"/>
  <c r="F7"/>
  <c r="I7" s="1"/>
  <c r="H156"/>
  <c r="M155"/>
  <c r="M156" s="1"/>
  <c r="L156" s="1"/>
  <c r="H155"/>
  <c r="F156"/>
  <c r="L154"/>
  <c r="M153"/>
  <c r="L153" s="1"/>
  <c r="H153"/>
  <c r="L152"/>
  <c r="L151"/>
  <c r="H151"/>
  <c r="H150"/>
  <c r="L149"/>
  <c r="M148"/>
  <c r="I148"/>
  <c r="I147" s="1"/>
  <c r="H148"/>
  <c r="L147"/>
  <c r="H146"/>
  <c r="H145"/>
  <c r="L144"/>
  <c r="H143"/>
  <c r="H142"/>
  <c r="F142"/>
  <c r="I142" s="1"/>
  <c r="H141"/>
  <c r="F141"/>
  <c r="I141" s="1"/>
  <c r="H140"/>
  <c r="M139"/>
  <c r="L139" s="1"/>
  <c r="H139"/>
  <c r="M138"/>
  <c r="L138"/>
  <c r="H138"/>
  <c r="M137"/>
  <c r="H137"/>
  <c r="H136"/>
  <c r="L135"/>
  <c r="M134"/>
  <c r="L134" s="1"/>
  <c r="H134"/>
  <c r="H133"/>
  <c r="M132"/>
  <c r="H132"/>
  <c r="H131"/>
  <c r="F131"/>
  <c r="H130"/>
  <c r="F130"/>
  <c r="I130" s="1"/>
  <c r="H129"/>
  <c r="F129"/>
  <c r="I129" s="1"/>
  <c r="M128"/>
  <c r="M141" s="1"/>
  <c r="L141" s="1"/>
  <c r="H128"/>
  <c r="L127"/>
  <c r="M126"/>
  <c r="M133" s="1"/>
  <c r="L133" s="1"/>
  <c r="I126"/>
  <c r="I125" s="1"/>
  <c r="H126"/>
  <c r="J126" s="1"/>
  <c r="J125" s="1"/>
  <c r="L125"/>
  <c r="H123"/>
  <c r="H122"/>
  <c r="H121"/>
  <c r="H120"/>
  <c r="H119"/>
  <c r="H118"/>
  <c r="H117"/>
  <c r="L116"/>
  <c r="H115"/>
  <c r="H114"/>
  <c r="H113"/>
  <c r="H112"/>
  <c r="H111"/>
  <c r="H110"/>
  <c r="H109"/>
  <c r="H108"/>
  <c r="H107"/>
  <c r="H105"/>
  <c r="H104"/>
  <c r="H103"/>
  <c r="H102"/>
  <c r="H101"/>
  <c r="H100"/>
  <c r="H99"/>
  <c r="H98"/>
  <c r="H97"/>
  <c r="H96"/>
  <c r="H95"/>
  <c r="L94"/>
  <c r="H93"/>
  <c r="L92"/>
  <c r="H90"/>
  <c r="H89"/>
  <c r="H88"/>
  <c r="H87"/>
  <c r="H86"/>
  <c r="H85"/>
  <c r="H84"/>
  <c r="H83"/>
  <c r="H82"/>
  <c r="H81"/>
  <c r="H80"/>
  <c r="H78"/>
  <c r="H77"/>
  <c r="H76"/>
  <c r="H75"/>
  <c r="H74"/>
  <c r="H73"/>
  <c r="H72"/>
  <c r="H71"/>
  <c r="H70"/>
  <c r="L69"/>
  <c r="H68"/>
  <c r="H67"/>
  <c r="H66"/>
  <c r="H65"/>
  <c r="H64"/>
  <c r="H63"/>
  <c r="H62"/>
  <c r="H61"/>
  <c r="H60"/>
  <c r="H59"/>
  <c r="H58"/>
  <c r="L57"/>
  <c r="H55"/>
  <c r="H54"/>
  <c r="H53"/>
  <c r="H52"/>
  <c r="H51"/>
  <c r="H50"/>
  <c r="H49"/>
  <c r="H48"/>
  <c r="H47"/>
  <c r="H45"/>
  <c r="H44"/>
  <c r="H43"/>
  <c r="H42"/>
  <c r="H41"/>
  <c r="H40"/>
  <c r="L39"/>
  <c r="H38"/>
  <c r="H37"/>
  <c r="H36"/>
  <c r="H35"/>
  <c r="H34"/>
  <c r="H32"/>
  <c r="H31"/>
  <c r="H30"/>
  <c r="H28"/>
  <c r="H27"/>
  <c r="H26"/>
  <c r="H25"/>
  <c r="H24"/>
  <c r="H23"/>
  <c r="H22"/>
  <c r="H21"/>
  <c r="H19"/>
  <c r="H18"/>
  <c r="H17"/>
  <c r="H16"/>
  <c r="H15"/>
  <c r="H14"/>
  <c r="H13"/>
  <c r="H12"/>
  <c r="H11"/>
  <c r="H10"/>
  <c r="L9"/>
  <c r="H7"/>
  <c r="N55" i="6" l="1"/>
  <c r="L43"/>
  <c r="O43" s="1"/>
  <c r="K55"/>
  <c r="J108" i="5"/>
  <c r="F117"/>
  <c r="I117" s="1"/>
  <c r="M129"/>
  <c r="L129" s="1"/>
  <c r="M142"/>
  <c r="L142" s="1"/>
  <c r="F145"/>
  <c r="I145" s="1"/>
  <c r="J118"/>
  <c r="J11"/>
  <c r="I77"/>
  <c r="J65"/>
  <c r="L128"/>
  <c r="L120"/>
  <c r="F120" s="1"/>
  <c r="J120" s="1"/>
  <c r="O146"/>
  <c r="M130"/>
  <c r="L130" s="1"/>
  <c r="J35"/>
  <c r="L53"/>
  <c r="F53" s="1"/>
  <c r="I53" s="1"/>
  <c r="L14"/>
  <c r="F14" s="1"/>
  <c r="I14" s="1"/>
  <c r="J70"/>
  <c r="J137"/>
  <c r="J130"/>
  <c r="J129"/>
  <c r="J143"/>
  <c r="J119"/>
  <c r="J45"/>
  <c r="J117"/>
  <c r="I138"/>
  <c r="J123"/>
  <c r="J121"/>
  <c r="J100"/>
  <c r="J75"/>
  <c r="I51"/>
  <c r="I36"/>
  <c r="J31"/>
  <c r="J16"/>
  <c r="J41"/>
  <c r="J44"/>
  <c r="I13"/>
  <c r="J13"/>
  <c r="I18"/>
  <c r="J18"/>
  <c r="J49"/>
  <c r="I49"/>
  <c r="J60"/>
  <c r="I60"/>
  <c r="J88"/>
  <c r="I88"/>
  <c r="I87"/>
  <c r="J87"/>
  <c r="J38"/>
  <c r="I38"/>
  <c r="J19"/>
  <c r="I19"/>
  <c r="J28"/>
  <c r="J54"/>
  <c r="J58"/>
  <c r="J111"/>
  <c r="J128"/>
  <c r="L155"/>
  <c r="J21"/>
  <c r="J37"/>
  <c r="J40"/>
  <c r="J48"/>
  <c r="J78"/>
  <c r="J101"/>
  <c r="J140"/>
  <c r="J155"/>
  <c r="J34"/>
  <c r="J97"/>
  <c r="J110"/>
  <c r="J23"/>
  <c r="J36"/>
  <c r="J68"/>
  <c r="J80"/>
  <c r="J146"/>
  <c r="J150"/>
  <c r="J25"/>
  <c r="J30"/>
  <c r="I32"/>
  <c r="I29" s="1"/>
  <c r="I35"/>
  <c r="J59"/>
  <c r="I70"/>
  <c r="J43"/>
  <c r="I54"/>
  <c r="I58"/>
  <c r="J67"/>
  <c r="I111"/>
  <c r="L126"/>
  <c r="J131"/>
  <c r="J136"/>
  <c r="J142"/>
  <c r="J153"/>
  <c r="J152" s="1"/>
  <c r="I47"/>
  <c r="J47"/>
  <c r="I71"/>
  <c r="J71"/>
  <c r="I83"/>
  <c r="J83"/>
  <c r="I93"/>
  <c r="I92" s="1"/>
  <c r="J93"/>
  <c r="J92" s="1"/>
  <c r="C31" i="6" s="1"/>
  <c r="E31" s="1"/>
  <c r="O31" s="1"/>
  <c r="J107" i="5"/>
  <c r="I107"/>
  <c r="I17"/>
  <c r="J17"/>
  <c r="I26"/>
  <c r="J26"/>
  <c r="I55"/>
  <c r="J55"/>
  <c r="I74"/>
  <c r="J74"/>
  <c r="I86"/>
  <c r="J86"/>
  <c r="I112"/>
  <c r="J112"/>
  <c r="I156"/>
  <c r="J156"/>
  <c r="I10"/>
  <c r="J10"/>
  <c r="I102"/>
  <c r="J102"/>
  <c r="I115"/>
  <c r="J115"/>
  <c r="I139"/>
  <c r="J139"/>
  <c r="I22"/>
  <c r="J22"/>
  <c r="I52"/>
  <c r="J52"/>
  <c r="I61"/>
  <c r="J61"/>
  <c r="J73"/>
  <c r="I73"/>
  <c r="J105"/>
  <c r="I105"/>
  <c r="I109"/>
  <c r="J109"/>
  <c r="I133"/>
  <c r="J133"/>
  <c r="I64"/>
  <c r="J64"/>
  <c r="I76"/>
  <c r="J76"/>
  <c r="I99"/>
  <c r="J99"/>
  <c r="J114"/>
  <c r="I114"/>
  <c r="I12"/>
  <c r="J12"/>
  <c r="I81"/>
  <c r="J81"/>
  <c r="I95"/>
  <c r="J95"/>
  <c r="I104"/>
  <c r="J104"/>
  <c r="I15"/>
  <c r="J15"/>
  <c r="J24"/>
  <c r="I24"/>
  <c r="I63"/>
  <c r="J63"/>
  <c r="J84"/>
  <c r="I84"/>
  <c r="I134"/>
  <c r="J134"/>
  <c r="I27"/>
  <c r="J27"/>
  <c r="I50"/>
  <c r="J50"/>
  <c r="J66"/>
  <c r="I66"/>
  <c r="I89"/>
  <c r="J89"/>
  <c r="I151"/>
  <c r="J151"/>
  <c r="I11"/>
  <c r="I16"/>
  <c r="I23"/>
  <c r="I28"/>
  <c r="I42"/>
  <c r="I39" s="1"/>
  <c r="I65"/>
  <c r="I75"/>
  <c r="I85"/>
  <c r="I108"/>
  <c r="I118"/>
  <c r="I120"/>
  <c r="I122"/>
  <c r="I131"/>
  <c r="I136"/>
  <c r="I146"/>
  <c r="J148"/>
  <c r="J147" s="1"/>
  <c r="I150"/>
  <c r="I155"/>
  <c r="I154" s="1"/>
  <c r="J72"/>
  <c r="J82"/>
  <c r="J90"/>
  <c r="J96"/>
  <c r="J98"/>
  <c r="J103"/>
  <c r="J113"/>
  <c r="F132"/>
  <c r="J138"/>
  <c r="J141"/>
  <c r="J7"/>
  <c r="C11" i="6" s="1"/>
  <c r="E11" s="1"/>
  <c r="O11" s="1"/>
  <c r="J51" i="5"/>
  <c r="J62"/>
  <c r="L55" i="6" l="1"/>
  <c r="J53" i="5"/>
  <c r="J46" s="1"/>
  <c r="C23" i="6" s="1"/>
  <c r="J23" s="1"/>
  <c r="O23" s="1"/>
  <c r="J145" i="5"/>
  <c r="I144"/>
  <c r="J14"/>
  <c r="J154"/>
  <c r="C53" i="6" s="1"/>
  <c r="M53" s="1"/>
  <c r="J144" i="5"/>
  <c r="J29"/>
  <c r="C17" i="6" s="1"/>
  <c r="I135" i="5"/>
  <c r="J149"/>
  <c r="J116"/>
  <c r="I116"/>
  <c r="I79"/>
  <c r="J69"/>
  <c r="C27" i="6" s="1"/>
  <c r="J57" i="5"/>
  <c r="C25" i="6" s="1"/>
  <c r="I46" i="5"/>
  <c r="J39"/>
  <c r="C21" i="6" s="1"/>
  <c r="I21" s="1"/>
  <c r="O21" s="1"/>
  <c r="J33" i="5"/>
  <c r="C19" i="6" s="1"/>
  <c r="I33" i="5"/>
  <c r="J20"/>
  <c r="C15" i="6" s="1"/>
  <c r="J79" i="5"/>
  <c r="C29" i="6" s="1"/>
  <c r="J29" s="1"/>
  <c r="O29" s="1"/>
  <c r="I57" i="5"/>
  <c r="I69"/>
  <c r="J135"/>
  <c r="I20"/>
  <c r="I132"/>
  <c r="I127" s="1"/>
  <c r="J132"/>
  <c r="J127" s="1"/>
  <c r="I9"/>
  <c r="J106"/>
  <c r="C35" i="6" s="1"/>
  <c r="I94" i="5"/>
  <c r="J9"/>
  <c r="C13" i="6" s="1"/>
  <c r="E13" s="1"/>
  <c r="O13" s="1"/>
  <c r="I106" i="5"/>
  <c r="I149"/>
  <c r="J94"/>
  <c r="C33" i="6" s="1"/>
  <c r="O53" l="1"/>
  <c r="M55"/>
  <c r="J35"/>
  <c r="H35"/>
  <c r="E27"/>
  <c r="E25"/>
  <c r="F17"/>
  <c r="G17"/>
  <c r="E15"/>
  <c r="F15"/>
  <c r="H33"/>
  <c r="H19"/>
  <c r="I19" s="1"/>
  <c r="I55" s="1"/>
  <c r="C55"/>
  <c r="J124" i="5"/>
  <c r="J56"/>
  <c r="I56"/>
  <c r="I124"/>
  <c r="J91"/>
  <c r="I91"/>
  <c r="O33" i="6" l="1"/>
  <c r="O35"/>
  <c r="H27"/>
  <c r="O27" s="1"/>
  <c r="M56"/>
  <c r="N56"/>
  <c r="O19"/>
  <c r="O17"/>
  <c r="G15"/>
  <c r="G55" s="1"/>
  <c r="G56" s="1"/>
  <c r="L56"/>
  <c r="C34"/>
  <c r="K56"/>
  <c r="J33"/>
  <c r="J55" s="1"/>
  <c r="H25"/>
  <c r="O25" s="1"/>
  <c r="F55"/>
  <c r="F56" s="1"/>
  <c r="E55"/>
  <c r="E56" s="1"/>
  <c r="C46"/>
  <c r="C48"/>
  <c r="C42"/>
  <c r="C44"/>
  <c r="C50"/>
  <c r="C54"/>
  <c r="C52"/>
  <c r="C28"/>
  <c r="C36"/>
  <c r="I56"/>
  <c r="C38"/>
  <c r="C30"/>
  <c r="C12"/>
  <c r="C22"/>
  <c r="C40"/>
  <c r="C57"/>
  <c r="C32"/>
  <c r="C20"/>
  <c r="C14"/>
  <c r="C24"/>
  <c r="C26"/>
  <c r="C16"/>
  <c r="I158" i="5"/>
  <c r="J158"/>
  <c r="O15" i="6" l="1"/>
  <c r="O55" s="1"/>
  <c r="H55"/>
  <c r="H56" s="1"/>
  <c r="O56" s="1"/>
  <c r="J56"/>
  <c r="C18"/>
  <c r="C56" s="1"/>
  <c r="E57"/>
  <c r="F57" s="1"/>
  <c r="F58" l="1"/>
  <c r="G57"/>
  <c r="H57" l="1"/>
  <c r="I57" s="1"/>
  <c r="J57" s="1"/>
  <c r="G58"/>
  <c r="K57" l="1"/>
  <c r="J58"/>
  <c r="I58"/>
  <c r="H58"/>
  <c r="L57" l="1"/>
  <c r="K58"/>
  <c r="M57" l="1"/>
  <c r="L58"/>
  <c r="N57" l="1"/>
  <c r="N58" s="1"/>
  <c r="M58"/>
</calcChain>
</file>

<file path=xl/sharedStrings.xml><?xml version="1.0" encoding="utf-8"?>
<sst xmlns="http://schemas.openxmlformats.org/spreadsheetml/2006/main" count="731" uniqueCount="403">
  <si>
    <t>PREFEITURA MUNICIPAL DE ARAMINA
ESTADO DE SÃO PAULO
CNPJ 45.323.474/0001-02</t>
  </si>
  <si>
    <t>PLANILHA ORÇAMENTÁRIA</t>
  </si>
  <si>
    <t>ITEM</t>
  </si>
  <si>
    <t>BASE SERVIÇOS</t>
  </si>
  <si>
    <t>CÓDIGO SERVIÇOS</t>
  </si>
  <si>
    <t>DESCRIÇÃO DOS SERVIÇOS</t>
  </si>
  <si>
    <t>UNID.</t>
  </si>
  <si>
    <t>QUANT.</t>
  </si>
  <si>
    <t>PREÇO UNITÁRIO R$</t>
  </si>
  <si>
    <t xml:space="preserve">CONSTRUÇÃO DE 05 (CINCO) RESIDENCIAS </t>
  </si>
  <si>
    <t>1.1</t>
  </si>
  <si>
    <t>SERVIÇOS PRELIMINARES</t>
  </si>
  <si>
    <t>1.1.1</t>
  </si>
  <si>
    <t>CDHU</t>
  </si>
  <si>
    <t>02.10.020</t>
  </si>
  <si>
    <t>Locação de obra de edificação</t>
  </si>
  <si>
    <t>M2</t>
  </si>
  <si>
    <t>1.2</t>
  </si>
  <si>
    <t>INFRAESTRUTURA</t>
  </si>
  <si>
    <t>1.2.1</t>
  </si>
  <si>
    <t>06.02.020</t>
  </si>
  <si>
    <t>Escavação manual em solo de 1ª e 2ª categoria em vala ou cava até 1,5 m</t>
  </si>
  <si>
    <t>M3</t>
  </si>
  <si>
    <t>1.2.2</t>
  </si>
  <si>
    <t>10.01.040</t>
  </si>
  <si>
    <t>Armadura em barra de aço CA-50 (A ou B) fyk = 500 MPa</t>
  </si>
  <si>
    <t>KG</t>
  </si>
  <si>
    <t>1.2.3</t>
  </si>
  <si>
    <t>10.01.060</t>
  </si>
  <si>
    <t>Armadura em barra de aço CA-60 (A ou B) fyk = 600 MPa</t>
  </si>
  <si>
    <t>1.2.5</t>
  </si>
  <si>
    <t>11.16.020</t>
  </si>
  <si>
    <t>Lançamento, espalhamento e adensamento de concreto ou massa em lastro e/ou enchimento</t>
  </si>
  <si>
    <t>1.2.6</t>
  </si>
  <si>
    <t>11.18.040</t>
  </si>
  <si>
    <t>Lastro de pedra britada</t>
  </si>
  <si>
    <t>1.2.7</t>
  </si>
  <si>
    <t>14.01.060</t>
  </si>
  <si>
    <t>Alvenaria de embasamento em bloco de concreto de 19 x 19 x 39 cm - classe A</t>
  </si>
  <si>
    <t>1.2.8</t>
  </si>
  <si>
    <t>17.01.020</t>
  </si>
  <si>
    <t>Argamassa de regularização e/ou proteção</t>
  </si>
  <si>
    <t>1.2.9</t>
  </si>
  <si>
    <t>32.16.010</t>
  </si>
  <si>
    <t>Impermeabilização em pintura de asfalto oxidado com solventes orgânicos, sobre massa</t>
  </si>
  <si>
    <t>12.01.041</t>
  </si>
  <si>
    <t>Broca em concreto armado diâmetro de 25 cm - completa</t>
  </si>
  <si>
    <t>M</t>
  </si>
  <si>
    <t>1.3</t>
  </si>
  <si>
    <t>SUPRAESTRUTURA E ALVENARIA</t>
  </si>
  <si>
    <t>1.3.2</t>
  </si>
  <si>
    <t>1.3.3</t>
  </si>
  <si>
    <t>1.3.4</t>
  </si>
  <si>
    <t>11.16.060</t>
  </si>
  <si>
    <t>Lançamento e adensamento de concreto ou massa em estrutura</t>
  </si>
  <si>
    <t>1.3.6</t>
  </si>
  <si>
    <t>14.02.030</t>
  </si>
  <si>
    <t>Alvenaria de elevação de 1/2 tijolo maciço comum</t>
  </si>
  <si>
    <t>1.3.7</t>
  </si>
  <si>
    <t>14.10.101</t>
  </si>
  <si>
    <t>Alvenaria de bloco de concreto de vedação de 9 x 19 x 39 cm - classe C</t>
  </si>
  <si>
    <t>SINAPI</t>
  </si>
  <si>
    <t>ALVENARIA DE VEDAÇÃO DE BLOCOS CERÂMICOS FURADOS NA VERTICAL DE 9X19X39 CM (ESPESSURA 9 CM) E ARGAMASSA DE ASSENTAMENTO COM PREPARO EM BETON
EIRA. AF_12/2021</t>
  </si>
  <si>
    <t>1.4</t>
  </si>
  <si>
    <t>COBERTURA</t>
  </si>
  <si>
    <t>TRAMA DE MADEIRA COMPOSTA POR TERÇAS PARA TELHADOS DE ATÉ 2 ÁGUAS PARA TELHA ONDULADA DE FIBROCIMENTO, METÁLICA, PLÁSTICA OU TERMOACÚSTICA,INCLUSO TRANSPORTE VERTICAL. AF_07/2019</t>
  </si>
  <si>
    <t>TELHAMENTO COM TELHA ONDULADA DE FIBROCIMENTO E = 6 MM, COM RECOBRIMENTO LATERAL DE 1 1/4 DE ONDA PARA TELHADO COM INCLINAÇÃO MÁXIMA DE 10°,COM ATÉ 2 ÁGUAS, INCLUSO IÇAMENTO. AF_07/2019</t>
  </si>
  <si>
    <t>1.4.3</t>
  </si>
  <si>
    <t>13.01.130</t>
  </si>
  <si>
    <t>Laje pré-fabricada mista vigota treliçada/lajota cerâmica - LT 12 (8+4) e capa com concreto de 25 MPa</t>
  </si>
  <si>
    <t>1.5</t>
  </si>
  <si>
    <t>REVESTIMENTO</t>
  </si>
  <si>
    <t>CHAPISCO APLICADO EM ALVENARIA E ESTRUTURAS DE CONCRETO INTERNAS,COM EQUIPAMENTO DE PROJEÇÃO. ARGAMASSA TRAÇO 1:3 COM PREPARO EM BETONEIRA 400 L. AF_10/2022</t>
  </si>
  <si>
    <t>MASSA ÚNICA, PARA RECEBIMENTO DE PINTURA, EM ARGAMASSA TRAÇO 1:2:8, PREPARO MECÂNICO COM BETONEIRA 400L, APLICADA MANUALMENTE EM FACES INTERNAS DE PAREDES, ESPESSURA DE 10MM, COM EXECUÇÃO DE TALISCAS. AF_06/2014</t>
  </si>
  <si>
    <t>EMBOÇO, PARA RECEBIMENTO DE CERÂMICA, EM ARGAMASSA TRAÇO 1:2:8, PREPARO MECÂNICO COM BETONEIRA 400L, APLICADO MANUALMENTE EM FACES INTERNAS DE PAREDES, PARA AMBIENTE COM ÁREA ENTRE 5M2 E 10M2, ESPESSURA DE 10MM, COM EXECUÇÃO DE TALISCAS. AF_06/2014</t>
  </si>
  <si>
    <t>1.5.4</t>
  </si>
  <si>
    <t>87269 REVESTIMENTO CERÂMICO PARA PAREDES INTERNAS COM PLACAS TIPO ESMALTADA EXTRA DE DIMENSÕES 25X35 CM APLICADAS NA ALTURA INTEIRA DAS PAREDES. A F_02/2023_PE</t>
  </si>
  <si>
    <t>1.6</t>
  </si>
  <si>
    <t>ESQUADRIAS</t>
  </si>
  <si>
    <t>1.6.1</t>
  </si>
  <si>
    <t>25.01.070</t>
  </si>
  <si>
    <t>Caixilho em alumínio de correr com vidro, linha comercial</t>
  </si>
  <si>
    <t>JANELA DE ALUMÍNIO TIPO MAXIM-AR, COM VIDROS, BATENTE E FERRAGENS. EXCLUSIVE ALIZAR, ACABAMENTO E CONTRAMARCO. FORNECIMENTO E INSTALAÇÃO. AF_12/2019</t>
  </si>
  <si>
    <t>1.6.3</t>
  </si>
  <si>
    <t>25.01.090</t>
  </si>
  <si>
    <t>Caixilho em alumínio tipo veneziana com vidro, linha comercial</t>
  </si>
  <si>
    <t>1.6.4</t>
  </si>
  <si>
    <t>25.02.050</t>
  </si>
  <si>
    <t>Porta veneziana de abrir em alumínio, linha comercial</t>
  </si>
  <si>
    <t>1.6.5</t>
  </si>
  <si>
    <t>23.09.040</t>
  </si>
  <si>
    <t>Porta lisa com batente madeira - 80 x 210 cm</t>
  </si>
  <si>
    <t>UN</t>
  </si>
  <si>
    <t>1.6.6</t>
  </si>
  <si>
    <t>25.02.070</t>
  </si>
  <si>
    <t>Portinhola tipo veneziana em alumínio, linha comercial</t>
  </si>
  <si>
    <t>1.7</t>
  </si>
  <si>
    <t>PISO INTERNO</t>
  </si>
  <si>
    <t>1.7.1</t>
  </si>
  <si>
    <t>06.12.020</t>
  </si>
  <si>
    <t>Aterro manual apiloado de área interna com maço de 30 kg</t>
  </si>
  <si>
    <t>CONCRETO FCK = 15MPA, TRAÇO 1:3,4:3,5 (EM MASSA SECA DE CIMENTO/ AREIA MÉDIA/ BRITA 1) - PREPARO MECÂNICO COM BETONEIRA 400 L. AF_05/2021</t>
  </si>
  <si>
    <t>1.7.3</t>
  </si>
  <si>
    <t>1.7.4</t>
  </si>
  <si>
    <t>SOLEIRA EM GRANITO, LARGURA 15 CM, ESPESSURA 2,0 CM. AF_09/2020</t>
  </si>
  <si>
    <t>1.7.6</t>
  </si>
  <si>
    <t>18.06.102</t>
  </si>
  <si>
    <t>Placa cerâmica esmaltada PEI-5 para área interna, grupo de absorção BIIb, resistência química B, assentado com argamassa colante industrializada</t>
  </si>
  <si>
    <t>1.7.7</t>
  </si>
  <si>
    <t>18.06.410</t>
  </si>
  <si>
    <t>Rejuntamento em placas cerâmicas com argamassa industrializada para rejunte, juntas acima de 3 até 5 mm</t>
  </si>
  <si>
    <t>1.7.8</t>
  </si>
  <si>
    <t>18.06.103</t>
  </si>
  <si>
    <t>Rodapé em placa cerâmica esmaltada PEI-5 para área interna, grupo de absorção BIIb, resistência química B, assentado com argamassa colante industrializada</t>
  </si>
  <si>
    <t>1.7.9</t>
  </si>
  <si>
    <t>18.06.510</t>
  </si>
  <si>
    <t>Rejuntamento de rodapé em placas cerâmicas com argamassa industrializada para rejunte, altura até 10 cm, juntas acima de 3 até 5 mm</t>
  </si>
  <si>
    <t>1.8</t>
  </si>
  <si>
    <t>INSTALAÇÕES HIDRÁULICAS</t>
  </si>
  <si>
    <t>1.8.1</t>
  </si>
  <si>
    <t>ÁGUA FRIA</t>
  </si>
  <si>
    <t>KIT CAVALETE PARA MEDIÇÃO DE ÁGUA - ENTRADA PRINCIPAL, EM PVC SOLDÁVELDN 25 (¾") FORNECIMENTO E INSTALAÇÃO (EXCLUSIVE HIDRÔMETRO). AF_11/2016</t>
  </si>
  <si>
    <t>HIDRÔMETRO DN 25 (¾ ), 5,0 M³/H FORNECIMENTO E INSTALAÇÃO. AF_11/2016</t>
  </si>
  <si>
    <t>1.8.1.2</t>
  </si>
  <si>
    <t>46.01.020</t>
  </si>
  <si>
    <t>Tubo de PVC rígido soldável marrom, DN= 25 mm, (3/4´), inclusive conexões</t>
  </si>
  <si>
    <t>1.8.1.3</t>
  </si>
  <si>
    <t>46.01.030</t>
  </si>
  <si>
    <t>Tubo de PVC rígido soldável marrom, DN= 32 mm, (1´), inclusive conexões</t>
  </si>
  <si>
    <t>1.8.1.4</t>
  </si>
  <si>
    <t>46.01.050</t>
  </si>
  <si>
    <t>Tubo de PVC rígido soldável marrom, DN= 50 mm, (1 1/2´), inclusive conexões</t>
  </si>
  <si>
    <t>1.8.1.5</t>
  </si>
  <si>
    <t>47.02.050</t>
  </si>
  <si>
    <t>Registro de gaveta em latão fundido cromado com canopla, DN= 1 1/2´ - linha especial</t>
  </si>
  <si>
    <t>1.8.1.6</t>
  </si>
  <si>
    <t>47.02.030</t>
  </si>
  <si>
    <t>Registro de gaveta em latão fundido cromado com canopla, DN= 1´ - linha especial</t>
  </si>
  <si>
    <t>1.8.1.7</t>
  </si>
  <si>
    <t>47.02.020</t>
  </si>
  <si>
    <t>Registro de gaveta em latão fundido cromado com canopla, DN= 3/4´ - linha especial</t>
  </si>
  <si>
    <t>1.8.1.8</t>
  </si>
  <si>
    <t>47.02.110</t>
  </si>
  <si>
    <t>Registro de pressão em latão fundido cromado com canopla, DN= 3/4´ - linha especial</t>
  </si>
  <si>
    <t>1.8.1.9</t>
  </si>
  <si>
    <t>47.04.040</t>
  </si>
  <si>
    <t>Válvula de descarga com registro próprio, DN= 1 1/2´</t>
  </si>
  <si>
    <t>1.8.1.10</t>
  </si>
  <si>
    <t>48.02.401</t>
  </si>
  <si>
    <t>Reservatório em polietileno com tampa de rosca - capacidade de 500 litros</t>
  </si>
  <si>
    <t>1.8.2</t>
  </si>
  <si>
    <t>ESGOTO</t>
  </si>
  <si>
    <t>1.8.2.1</t>
  </si>
  <si>
    <t>46.02.010</t>
  </si>
  <si>
    <t>Tubo de PVC rígido branco, pontas lisas, soldável, linha esgoto série normal, DN= 40 mm,
inclusive conexões</t>
  </si>
  <si>
    <t>1.8.2.2</t>
  </si>
  <si>
    <t>46.02.050</t>
  </si>
  <si>
    <t>Tubo de PVC rígido branco PxB com virola e anel de borracha, linha esgoto série normal,
DN= 50 mm, inclusive conexões</t>
  </si>
  <si>
    <t>1.8.2.3</t>
  </si>
  <si>
    <t>46.02.060</t>
  </si>
  <si>
    <t>Tubo de PVC rígido branco PxB com virola e anel de borracha, linha esgoto série normal,
DN= 75 mm, inclusive conexões</t>
  </si>
  <si>
    <t>1.8.2.4</t>
  </si>
  <si>
    <t>46.02.070</t>
  </si>
  <si>
    <t>Tubo de PVC rígido branco PxB com virola e anel de borracha, linha esgoto série normal,
DN= 100 mm, inclusive conexões</t>
  </si>
  <si>
    <t>1.8.2.5</t>
  </si>
  <si>
    <t>49.03.020</t>
  </si>
  <si>
    <t>Caixa de gordura em alvenaria, 600 x 600 x 600 mm</t>
  </si>
  <si>
    <t>1.8.2.6</t>
  </si>
  <si>
    <t>CAIXA ENTERRADA HIDRÁULICA RETANGULAR, EM ALVENARIA COM BLOCOS DE CONCRETO, DIMENSÕES INTERNAS: 0,6X0,6X0,6 M PARA REDE DE ESGOTO.
AF_12/2020</t>
  </si>
  <si>
    <t>UN.</t>
  </si>
  <si>
    <t>1.8.2.7</t>
  </si>
  <si>
    <t>49.01.070</t>
  </si>
  <si>
    <t>Caixa sifonada de PVC rígido de 250 x 230 x 75 mm, com tampa cega</t>
  </si>
  <si>
    <t>1.8.2.8</t>
  </si>
  <si>
    <t>49.01.050</t>
  </si>
  <si>
    <t>Caixa sifonada de PVC rígido de 250 x 172 x 50 mm, com tampa cega</t>
  </si>
  <si>
    <t>1.8.2.9</t>
  </si>
  <si>
    <t>49.01.020</t>
  </si>
  <si>
    <t>Caixa sifonada de PVC rígido de 100 x 150 x 50 mm, com grelha</t>
  </si>
  <si>
    <t>1.8.3</t>
  </si>
  <si>
    <t>ACESSÓRIOS</t>
  </si>
  <si>
    <t>1.8.3.1</t>
  </si>
  <si>
    <t>44.01.050</t>
  </si>
  <si>
    <t>Bacia sifonada de louça sem tampa - 6 litros</t>
  </si>
  <si>
    <t>1.8.3.2</t>
  </si>
  <si>
    <t>44.01.110</t>
  </si>
  <si>
    <t>Lavatório de louça com coluna</t>
  </si>
  <si>
    <t>1.8.3.3</t>
  </si>
  <si>
    <t>BANCADA DE MÁRMORE SINTÉTICO 120 X 60CM, COM CUBA INTEGRADA, INCLUSO SIFÃO TIPO FLEXÍVEL EM PVC, VÁLVULA EM PLÁSTICO CROMADO TIPO AMERICANA E TORNEIRA CROMADA LONGA, DE PAREDE, PADRÃO POPULAR - FORNECIMENTO E
INSTALAÇÃO. AF_01/2020                                     Página 1 de 4</t>
  </si>
  <si>
    <t>1.8.3.4</t>
  </si>
  <si>
    <t>44.01.370</t>
  </si>
  <si>
    <t>Tanque em granito sintético, linha comercial - sem pertences</t>
  </si>
  <si>
    <t>1.8.3.5</t>
  </si>
  <si>
    <t>44.20.010</t>
  </si>
  <si>
    <t>Sifão plástico sanfonado universal de 1´</t>
  </si>
  <si>
    <t>1.8.3.6</t>
  </si>
  <si>
    <t>44.20.100</t>
  </si>
  <si>
    <t>Engate flexível metálico DN= 1/2´</t>
  </si>
  <si>
    <t>1.8.3.7</t>
  </si>
  <si>
    <t>44.03.920</t>
  </si>
  <si>
    <t>Ducha higiênica com registro</t>
  </si>
  <si>
    <t>1.8.3.8</t>
  </si>
  <si>
    <t>44.03.315</t>
  </si>
  <si>
    <t>Torneira de mesa com bica móvel e alavanca</t>
  </si>
  <si>
    <t>1.8.3.9</t>
  </si>
  <si>
    <t>44.03.400</t>
  </si>
  <si>
    <t>Torneira curta com rosca para uso geral, em latão fundido cromado, DN= 3/4´</t>
  </si>
  <si>
    <t>1.8.3.10</t>
  </si>
  <si>
    <t>TORNEIRA CROMADA DE MESA, 1/2 OU 3/4, PARA LAVATÓRIO, PADRÃO POPULAR -
FORNECIMENTO E INSTALAÇÃO. AF_01/2020</t>
  </si>
  <si>
    <t>1.8.3.11</t>
  </si>
  <si>
    <t>KIT DE ACESSORIOS PARA BANHEIRO EM METAL CROMADO, 5 PECAS, INCLUSO
FIXAÇÃO. AF_01/2020</t>
  </si>
  <si>
    <t>1.9</t>
  </si>
  <si>
    <t>INSTALAÇÕES ELÉTRICAS</t>
  </si>
  <si>
    <t>1.9.1</t>
  </si>
  <si>
    <t>ENTRADA DE ENERGIA</t>
  </si>
  <si>
    <t>1.9.1.1</t>
  </si>
  <si>
    <t>ENTRADA DE ENERGIA ELÉTRICA, AÉREA, BIFÁSICA, COM CAIXA DE EMBUTIR, CABO DE 16 MM2 E DISJUNTOR DIN 50A</t>
  </si>
  <si>
    <t>UM</t>
  </si>
  <si>
    <t>1.9.2</t>
  </si>
  <si>
    <t>REDE DE DISTRIBUIÇÃO</t>
  </si>
  <si>
    <t>1.9.2.1</t>
  </si>
  <si>
    <t>QUADRO DE DISTRIBUIÇÃO DE ENERGIA EM PVC, DE EMBUTIR, SEM BARRAMENTO, PARA 6 DISJUNTORES - FORNECIMENTO E INSTALAÇÃO. AF_10/2020</t>
  </si>
  <si>
    <t>HASTE DE ATERRAMENTO 5/8 PARA SPDA - FORNECIMENTO E INSTALAÇÃO. AF_12/2017</t>
  </si>
  <si>
    <t>DISJUNTOR MONOPOLAR TIPO NEMA, CORRENTE NOMINAL DE 10 ATÉ 30A - FORNECIMENTO E INSTALAÇÃO. AF_10/2020</t>
  </si>
  <si>
    <t>DISJUNTOR MONOPOLAR TIPO NEMA, CORRENTE NOMINAL DE 35 ATÉ 50A - FORNECIMENTO E INSTALAÇÃO. AF_10/2020</t>
  </si>
  <si>
    <t>1.9.2.5</t>
  </si>
  <si>
    <t>38.19.040</t>
  </si>
  <si>
    <t>Eletroduto de PVC corrugado flexível leve, diâmetro externo de 32 mm</t>
  </si>
  <si>
    <t>1.9.2.6</t>
  </si>
  <si>
    <t>38.19.030</t>
  </si>
  <si>
    <t>Eletroduto de PVC corrugado flexível leve, diâmetro externo de 25 mm</t>
  </si>
  <si>
    <t>1.9.2.7</t>
  </si>
  <si>
    <t>39.21.060</t>
  </si>
  <si>
    <t>Cabo de cobre flexível de 16 mm², isolamento 0,6/1kV - isolação HEPR 90°C</t>
  </si>
  <si>
    <t>1.9.2.8</t>
  </si>
  <si>
    <t>39.02.040</t>
  </si>
  <si>
    <t>Cabo de cobre de 10 mm², isolamento 750 V - isolação em PVC 70°C</t>
  </si>
  <si>
    <t>1.9.2.9</t>
  </si>
  <si>
    <t>39.02.030</t>
  </si>
  <si>
    <t>Cabo de cobre de 6 mm², isolamento 750 V - isolação em PVC 70°C</t>
  </si>
  <si>
    <t>1.9.2.10</t>
  </si>
  <si>
    <t>39.02.016</t>
  </si>
  <si>
    <t>Cabo de cobre de 2,5 mm², isolamento 750 V - isolação em PVC 70°C</t>
  </si>
  <si>
    <t>m2</t>
  </si>
  <si>
    <t>1.9.2.11</t>
  </si>
  <si>
    <t>39.02.010</t>
  </si>
  <si>
    <t>Cabo de cobre de 1,5 mm², isolamento 750 V - isolação em PVC 70°C</t>
  </si>
  <si>
    <t>1.9.3</t>
  </si>
  <si>
    <t>PONTOS DE ILUMINAÇÃO E TOMADAS</t>
  </si>
  <si>
    <t>1.9.3.1</t>
  </si>
  <si>
    <t>40.07.010</t>
  </si>
  <si>
    <t>Caixa em PVC de 4´ x 2´</t>
  </si>
  <si>
    <t>1.9.3.2</t>
  </si>
  <si>
    <t>40.07.020</t>
  </si>
  <si>
    <t>Caixa em PVC de 4´ x 4´</t>
  </si>
  <si>
    <t>1.9.3.3</t>
  </si>
  <si>
    <t>40.01.080</t>
  </si>
  <si>
    <t>Caixa de ferro estampada octogonal fundo móvel 4´ x 4´</t>
  </si>
  <si>
    <t>1.9.3.4</t>
  </si>
  <si>
    <t>41.20.080</t>
  </si>
  <si>
    <t>Plafon plástico e/ou PVC para acabamento de ponto de luz, com soquete E-27 para lâmpada fluorescente compacta</t>
  </si>
  <si>
    <t>1.9.3.5</t>
  </si>
  <si>
    <t>41.13.200</t>
  </si>
  <si>
    <t>Luminária blindada oval de sobrepor ou arandela, para lâmpada fluorescentes compacta</t>
  </si>
  <si>
    <t>1.9.3.6</t>
  </si>
  <si>
    <t>40.05.020</t>
  </si>
  <si>
    <t>Interruptor com 1 tecla simples e placa</t>
  </si>
  <si>
    <t>CJ</t>
  </si>
  <si>
    <t>1.9.3.7</t>
  </si>
  <si>
    <t>40.05.040</t>
  </si>
  <si>
    <t>Interruptor com 2 teclas simples e placa</t>
  </si>
  <si>
    <t>1.9.3.8</t>
  </si>
  <si>
    <t>40.04.450</t>
  </si>
  <si>
    <t>Tomada 2P+T de 10 A - 250 V, completa</t>
  </si>
  <si>
    <t>1.9.3.9</t>
  </si>
  <si>
    <t>41.07.450</t>
  </si>
  <si>
    <t>Lâmpada fluorescente compacta eletrônica "3U", base E27 de 25 W - 110 ou 220 V</t>
  </si>
  <si>
    <t>1.10</t>
  </si>
  <si>
    <t>1.10.1</t>
  </si>
  <si>
    <t>PINTURA</t>
  </si>
  <si>
    <t>FUNDO SELADOR ACRÍLICO, APLICAÇÃO MANUAL EM TETO, UMA DEMÃO. AF_04/2023</t>
  </si>
  <si>
    <t>FUNDO SELADOR ACRÍLICO, APLICAÇÃO MANUAL EM PAREDE, UMA DEMÃO. AF_04/2023</t>
  </si>
  <si>
    <t>PINTURA LÁTEX ACRÍLICA PREMIUM, APLICAÇÃO MANUAL EM TETO, DUAS DEMÃOS. AF_04/2023</t>
  </si>
  <si>
    <t>PINTURA LÁTEX ACRÍLICA PREMIUM, APLICAÇÃO MANUAL EM PAREDES, DUAS DEMÃOS. AF_04/2023</t>
  </si>
  <si>
    <t>EMASSAMENTO COM MASSA LÁTEX, APLICAÇÃO EM PAREDE, UMA DEMÃO, LIXAMENTO MANUAL. AF_04/2023</t>
  </si>
  <si>
    <t>EMASSAMENTO COM MASSA LÁTEX, APLICAÇÃO EM TETO, DUAS DEMÃOS, LIXAMENTO MANUAL. AF_04/2023</t>
  </si>
  <si>
    <t>33.07.102</t>
  </si>
  <si>
    <t>Esmalte a base de água em estrutura metálica</t>
  </si>
  <si>
    <t>PINTURA VERNIZ (INCOLOR) ALQUÍDICO EM MADEIRA, USO INTERNO E EXTERNO,2 DEMÃOS. AF_01/2021</t>
  </si>
  <si>
    <t>MURO DIVISA DAS 05 (CINCO) RESIDENCIAS</t>
  </si>
  <si>
    <t>2.1</t>
  </si>
  <si>
    <t>2.1.1</t>
  </si>
  <si>
    <t>02.10.050</t>
  </si>
  <si>
    <t>Locação para muros, cercas e alambrados</t>
  </si>
  <si>
    <t>2.2</t>
  </si>
  <si>
    <t>2.2.1</t>
  </si>
  <si>
    <t>12.01.021</t>
  </si>
  <si>
    <t>Broca em concreto armado diâmetro de 20 cm - completa</t>
  </si>
  <si>
    <t>2.2.2</t>
  </si>
  <si>
    <t>2.2.3</t>
  </si>
  <si>
    <t>2.2.4</t>
  </si>
  <si>
    <t>2.2.5</t>
  </si>
  <si>
    <t>11.16.040</t>
  </si>
  <si>
    <t>Lançamento e adensamento de concreto ou massa em fundação</t>
  </si>
  <si>
    <t>2.2.6</t>
  </si>
  <si>
    <t>2.2.7</t>
  </si>
  <si>
    <t>2.3</t>
  </si>
  <si>
    <t>2.3.1</t>
  </si>
  <si>
    <t>2.3.2</t>
  </si>
  <si>
    <t>2.3.3</t>
  </si>
  <si>
    <t>2.3.4</t>
  </si>
  <si>
    <t>2.3.5</t>
  </si>
  <si>
    <t>MONTAGEM E DESMONTAGEM DE FÔRMA DE PILARES RETANGULARES E ESTRUTURAS SIMILARES, PÉ-DIREITO SIMPLES, EM CHAPA DE MADEIRA COMPENSADA PLASTIFICADA, 14 UTILIZAÇÕES. AF_09/2020</t>
  </si>
  <si>
    <t>2.3.6</t>
  </si>
  <si>
    <t>2.3.7</t>
  </si>
  <si>
    <t>14.10.121</t>
  </si>
  <si>
    <r>
      <rPr>
        <sz val="5.5"/>
        <rFont val="Arial MT"/>
        <charset val="1"/>
      </rPr>
      <t>Alvenaria de bloco de concreto de vedação de 19 x</t>
    </r>
    <r>
      <rPr>
        <vertAlign val="subscript"/>
        <sz val="5.5"/>
        <rFont val="Arial MT"/>
        <charset val="1"/>
      </rPr>
      <t>P</t>
    </r>
    <r>
      <rPr>
        <sz val="5.5"/>
        <rFont val="Arial MT"/>
        <charset val="1"/>
      </rPr>
      <t>1</t>
    </r>
    <r>
      <rPr>
        <vertAlign val="subscript"/>
        <sz val="5.5"/>
        <rFont val="Arial MT"/>
        <charset val="1"/>
      </rPr>
      <t>á</t>
    </r>
    <r>
      <rPr>
        <sz val="5.5"/>
        <rFont val="Arial MT"/>
        <charset val="1"/>
      </rPr>
      <t>9</t>
    </r>
    <r>
      <rPr>
        <vertAlign val="subscript"/>
        <sz val="5.5"/>
        <rFont val="Arial MT"/>
        <charset val="1"/>
      </rPr>
      <t>gi</t>
    </r>
    <r>
      <rPr>
        <sz val="5.5"/>
        <rFont val="Arial MT"/>
        <charset val="1"/>
      </rPr>
      <t>x</t>
    </r>
    <r>
      <rPr>
        <vertAlign val="subscript"/>
        <sz val="5.5"/>
        <rFont val="Arial MT"/>
        <charset val="1"/>
      </rPr>
      <t>na</t>
    </r>
    <r>
      <rPr>
        <sz val="5.5"/>
        <rFont val="Arial MT"/>
        <charset val="1"/>
      </rPr>
      <t>39</t>
    </r>
    <r>
      <rPr>
        <vertAlign val="subscript"/>
        <sz val="5.5"/>
        <rFont val="Arial MT"/>
        <charset val="1"/>
      </rPr>
      <t xml:space="preserve">3 </t>
    </r>
    <r>
      <rPr>
        <sz val="5.5"/>
        <rFont val="Arial MT"/>
        <charset val="1"/>
      </rPr>
      <t>c</t>
    </r>
    <r>
      <rPr>
        <vertAlign val="subscript"/>
        <sz val="5.5"/>
        <rFont val="Arial MT"/>
        <charset val="1"/>
      </rPr>
      <t>d</t>
    </r>
    <r>
      <rPr>
        <sz val="5.5"/>
        <rFont val="Arial MT"/>
        <charset val="1"/>
      </rPr>
      <t>m</t>
    </r>
    <r>
      <rPr>
        <vertAlign val="subscript"/>
        <sz val="5.5"/>
        <rFont val="Arial MT"/>
        <charset val="1"/>
      </rPr>
      <t>e 4</t>
    </r>
    <r>
      <rPr>
        <sz val="5.5"/>
        <rFont val="Arial MT"/>
        <charset val="1"/>
      </rPr>
      <t>- classe C</t>
    </r>
  </si>
  <si>
    <t>2.3.8</t>
  </si>
  <si>
    <t>2.4</t>
  </si>
  <si>
    <t>2.4.1</t>
  </si>
  <si>
    <t>CHAPISCO APLICADO EM ALVENARIA (SEM PRESENÇA DE VÃOS) E ESTRUTURAS DE CONCRETO DE FACHADA, COM EQUIPAMENTO DE PROJEÇÃO. ARGAMASSA TRAÇO 1:3 COM PREPARO EM BETONEIRA 400 L. AF_10/2022</t>
  </si>
  <si>
    <t>2.4.2</t>
  </si>
  <si>
    <t>2.5</t>
  </si>
  <si>
    <t>ESQUADRIA</t>
  </si>
  <si>
    <t>2.5.1</t>
  </si>
  <si>
    <t>24.02.060</t>
  </si>
  <si>
    <t>Porta/portão de abrir em chapa, sob medida</t>
  </si>
  <si>
    <t>2.6</t>
  </si>
  <si>
    <t>2.6.1</t>
  </si>
  <si>
    <t>2.6.2</t>
  </si>
  <si>
    <t>2.7</t>
  </si>
  <si>
    <t>RUFO</t>
  </si>
  <si>
    <t>2.7.1</t>
  </si>
  <si>
    <t>16.33.082</t>
  </si>
  <si>
    <t>Calha, rufo, afins em chapa galvanizada nº 26 - corte 0,33 m</t>
  </si>
  <si>
    <t>3.1</t>
  </si>
  <si>
    <t>54.01.010</t>
  </si>
  <si>
    <t>Regularização e compactação mecanizada de superfície, sem controle do proctor normal</t>
  </si>
  <si>
    <t>3.2</t>
  </si>
  <si>
    <t>EXECUÇÃO DE PASSEIO (CALÇADA) OU PISO DE CONCRETO COM CONCRETO
MOLDADO IN LOCO, USINADO, ACABAMENTO CONVENCIONAL, NÃO ARMADO. AF_07/2016</t>
  </si>
  <si>
    <t>TOTAL GERAL</t>
  </si>
  <si>
    <t>MARIA MADALENA DA SILVA</t>
  </si>
  <si>
    <t>PREFEITURA MUNICIPAL DE ARAMINA - ESTADO DE SÃO PAULO
Rua: Dr Bráulio A Junqueira – 795 - CNPJ: 45323474/0001-02
Telefone: (16) 3752-7000 / Fax: (16) 3752-7043 - E-mail: governo@aramina.sp.gov.br</t>
  </si>
  <si>
    <t xml:space="preserve">CRONOGRAMA FÍSICO-FINANCEIRO </t>
  </si>
  <si>
    <t>DISCRIMINAÇÃO DOS SERVIÇOS</t>
  </si>
  <si>
    <t>TOTAL</t>
  </si>
  <si>
    <t>1° MÊS</t>
  </si>
  <si>
    <t>3º MÊS</t>
  </si>
  <si>
    <t>4º MÊS</t>
  </si>
  <si>
    <t>5º MÊS</t>
  </si>
  <si>
    <t>R$</t>
  </si>
  <si>
    <t>%</t>
  </si>
  <si>
    <t>TOTAL ACUMULADO</t>
  </si>
  <si>
    <t>___________________________________</t>
  </si>
  <si>
    <t>____________________________________</t>
  </si>
  <si>
    <t>ARQ.º URB.ª KLEBER BIZARRO MENEZES</t>
  </si>
  <si>
    <t>CAU/BR: A2237210</t>
  </si>
  <si>
    <t>PREFEITA MUNICIPAL</t>
  </si>
  <si>
    <t>1.10.2</t>
  </si>
  <si>
    <t>1.10.3</t>
  </si>
  <si>
    <t>CONCRETO FCK = 20MPA, TRAÇO 1:2,7:3 (EM MASSA SECA DE CIMENTO/ AREIA MÉDIA/ BRITA 1) - PREPARO MECÂNICO COM BETONEIRA 400 L. AF_05/2021</t>
  </si>
  <si>
    <t>MONTAGEM E DESMONTAGEM DE FÔRMA DE PILARES RETANGULARES E ESTRUTURAS SIMILARES, PÉ-DIREITO SIMPLES, EM MADEIRA SERRADA, 4 UTILIZAÇÕES. AF_09/2020</t>
  </si>
  <si>
    <t>ALVENARIA DE VEDAÇÃO DE BLOCOS CERÂMICOS FURADOS NA VERTICAL DE 9X19X39 CM (ESPESSURA 9 CM) E ARGAMASSA DE ASSENTAMENTO COM PREPARO EM BETONEIRA. AF_12/2021</t>
  </si>
  <si>
    <t>CHAPISCO APLICADO EM ALVENARIA (COM PRESENÇA DE VÃOS) E ESTRUTURAS DECONCRETO DE FACHADA, COM EQUIPAMENTO DE PROJEÇÃO. ARGAMASSA TRAÇO 1:3 COM PREPARO EM BETONEIRA 400 L. AF_10/2022</t>
  </si>
  <si>
    <t>CUSTO TOTAL C/ BDI - R$</t>
  </si>
  <si>
    <t>CUSTO UNITÁRIO C/ BDI - R$</t>
  </si>
  <si>
    <t>PREÇO TOTAL R$</t>
  </si>
  <si>
    <t>1.2.4</t>
  </si>
  <si>
    <t>1.2.10</t>
  </si>
  <si>
    <t>1.3.1</t>
  </si>
  <si>
    <t>1.3.5</t>
  </si>
  <si>
    <t>1.3.8</t>
  </si>
  <si>
    <t>1.4.1</t>
  </si>
  <si>
    <t>1.4.2</t>
  </si>
  <si>
    <t>1.5.1</t>
  </si>
  <si>
    <t>1.5.2</t>
  </si>
  <si>
    <t>1.5.3</t>
  </si>
  <si>
    <t>1.5.5</t>
  </si>
  <si>
    <t>1.6.2</t>
  </si>
  <si>
    <t>1.7.2</t>
  </si>
  <si>
    <t>1.7.5</t>
  </si>
  <si>
    <t>1.8.1.1</t>
  </si>
  <si>
    <t>1.8.1.11</t>
  </si>
  <si>
    <t>1.9.2.2</t>
  </si>
  <si>
    <t>1.9.2.3</t>
  </si>
  <si>
    <t>1.9.2.4</t>
  </si>
  <si>
    <t>Aramina-SP, 14 de junho de 2023.</t>
  </si>
  <si>
    <t>1.10.4</t>
  </si>
  <si>
    <t>1.10.5</t>
  </si>
  <si>
    <t>1.10.6</t>
  </si>
  <si>
    <t>1.10.7</t>
  </si>
  <si>
    <t>6º MÊS</t>
  </si>
  <si>
    <t>7º MÊS</t>
  </si>
  <si>
    <t>8º MÊS</t>
  </si>
  <si>
    <t>9º MÊS</t>
  </si>
  <si>
    <t>ARQ. URB. KLEBER BIZARRO MENEZES  CAU/BR: A2237210</t>
  </si>
  <si>
    <t>10º MÊS</t>
  </si>
  <si>
    <r>
      <t>2</t>
    </r>
    <r>
      <rPr>
        <sz val="11"/>
        <color rgb="FF000000"/>
        <rFont val="Calibri"/>
        <family val="2"/>
      </rPr>
      <t>° MÊS</t>
    </r>
  </si>
  <si>
    <t>;</t>
  </si>
  <si>
    <t>Placa em lona com impressão digital e estrutura em madeira</t>
  </si>
  <si>
    <t>02.08.050</t>
  </si>
  <si>
    <t>1.1.2</t>
  </si>
  <si>
    <t xml:space="preserve">OBRA/SERVIÇO: CONSTRUÇÃO DE 04 (QUATRO) RESIDENCIAS UNIFAMILIARES DO PROGRAMA NOSSA CASA LOCAL: RUA RENIVALDO IENNY – BAIRRO ARNALDO SCANDIUZZI – ARAMINA    ESTADO: SÃO PAULO
BASE: CDHU VERSÃO: 189 - COM DESONERAÇÃO -  LEI SOCIAL 97,78 - VIGÊNCIA JUNHO/2023
SINAPI DESONERADO DATA DE EMISSÃO: 14/05/2023                                                                                                                                                                                                                                                                                                                                                                                                                              DATA: 14/06/2023       BDI = 22,96%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</si>
</sst>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_(* #,##0.00_);_(* \(#,##0.00\);_(* \-??_);_(@_)"/>
    <numFmt numFmtId="165" formatCode="[$R$-416]\ #,##0.00;[Red]\-[$R$-416]\ #,##0.00"/>
    <numFmt numFmtId="166" formatCode="_-&quot;R$ &quot;* #,##0.00_-;&quot;-R$ &quot;* #,##0.00_-;_-&quot;R$ &quot;* \-??_-;_-@_-"/>
    <numFmt numFmtId="167" formatCode="_-* #,##0.00_-;\-* #,##0.00_-;_-* \-??_-;_-@_-"/>
  </numFmts>
  <fonts count="18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0"/>
      <name val="Arial"/>
      <family val="2"/>
    </font>
    <font>
      <b/>
      <sz val="8"/>
      <color rgb="FFFFFFFF"/>
      <name val="Arial"/>
      <family val="2"/>
    </font>
    <font>
      <b/>
      <sz val="6.5"/>
      <name val="Arial"/>
      <family val="2"/>
    </font>
    <font>
      <b/>
      <sz val="5.5"/>
      <name val="Arial"/>
      <family val="2"/>
    </font>
    <font>
      <b/>
      <sz val="5.5"/>
      <color rgb="FFFFFFFF"/>
      <name val="Arial"/>
      <family val="2"/>
    </font>
    <font>
      <sz val="10"/>
      <color rgb="FFFFFFFF"/>
      <name val="Times New Roman"/>
      <family val="1"/>
    </font>
    <font>
      <sz val="5.5"/>
      <name val="Arial MT"/>
      <charset val="1"/>
    </font>
    <font>
      <sz val="5.5"/>
      <color rgb="FF000000"/>
      <name val="Arial MT"/>
      <charset val="1"/>
    </font>
    <font>
      <b/>
      <sz val="5.5"/>
      <color rgb="FF000000"/>
      <name val="Arial"/>
      <family val="2"/>
    </font>
    <font>
      <vertAlign val="subscript"/>
      <sz val="5.5"/>
      <name val="Arial MT"/>
      <charset val="1"/>
    </font>
    <font>
      <b/>
      <sz val="12"/>
      <name val="Arial"/>
      <family val="2"/>
    </font>
    <font>
      <sz val="18"/>
      <color rgb="FF000000"/>
      <name val="Arial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3FAF46"/>
        <bgColor rgb="FF00A933"/>
      </patternFill>
    </fill>
    <fill>
      <patternFill patternType="solid">
        <fgColor rgb="FFD8D8D8"/>
        <bgColor rgb="FFDDD8C3"/>
      </patternFill>
    </fill>
    <fill>
      <patternFill patternType="solid">
        <fgColor rgb="FFC9211E"/>
        <bgColor rgb="FF993366"/>
      </patternFill>
    </fill>
    <fill>
      <patternFill patternType="solid">
        <fgColor rgb="FFFFFFFF"/>
        <bgColor rgb="FFFFFFCC"/>
      </patternFill>
    </fill>
    <fill>
      <patternFill patternType="solid">
        <fgColor rgb="FF8CB3E2"/>
        <bgColor rgb="FF9999FF"/>
      </patternFill>
    </fill>
    <fill>
      <patternFill patternType="solid">
        <fgColor rgb="FF91CF50"/>
        <bgColor rgb="FF969696"/>
      </patternFill>
    </fill>
    <fill>
      <patternFill patternType="solid">
        <fgColor rgb="FF069A2E"/>
        <bgColor rgb="FF00A933"/>
      </patternFill>
    </fill>
    <fill>
      <patternFill patternType="solid">
        <fgColor rgb="FFDDD8C3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00A933"/>
        <bgColor rgb="FF069A2E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rgb="FFD8D8D8"/>
      </patternFill>
    </fill>
  </fills>
  <borders count="59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</borders>
  <cellStyleXfs count="4">
    <xf numFmtId="0" fontId="0" fillId="0" borderId="0"/>
    <xf numFmtId="166" fontId="15" fillId="0" borderId="0" applyBorder="0" applyProtection="0"/>
    <xf numFmtId="0" fontId="1" fillId="0" borderId="0"/>
    <xf numFmtId="164" fontId="15" fillId="0" borderId="0" applyBorder="0" applyProtection="0"/>
  </cellStyleXfs>
  <cellXfs count="216">
    <xf numFmtId="0" fontId="0" fillId="0" borderId="0" xfId="0"/>
    <xf numFmtId="0" fontId="0" fillId="0" borderId="0" xfId="0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165" fontId="6" fillId="4" borderId="4" xfId="0" applyNumberFormat="1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center" vertical="center" shrinkToFit="1"/>
    </xf>
    <xf numFmtId="165" fontId="9" fillId="0" borderId="4" xfId="0" applyNumberFormat="1" applyFont="1" applyBorder="1" applyAlignment="1">
      <alignment horizontal="center" vertical="center" shrinkToFit="1"/>
    </xf>
    <xf numFmtId="165" fontId="8" fillId="0" borderId="4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top" shrinkToFit="1"/>
    </xf>
    <xf numFmtId="0" fontId="0" fillId="8" borderId="4" xfId="0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left" vertical="center" wrapText="1"/>
    </xf>
    <xf numFmtId="165" fontId="5" fillId="8" borderId="4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shrinkToFit="1"/>
    </xf>
    <xf numFmtId="2" fontId="9" fillId="0" borderId="3" xfId="0" applyNumberFormat="1" applyFont="1" applyBorder="1" applyAlignment="1">
      <alignment horizontal="center" vertical="center" shrinkToFit="1"/>
    </xf>
    <xf numFmtId="4" fontId="9" fillId="0" borderId="4" xfId="0" applyNumberFormat="1" applyFont="1" applyBorder="1" applyAlignment="1">
      <alignment horizontal="center" vertical="center" shrinkToFit="1"/>
    </xf>
    <xf numFmtId="4" fontId="9" fillId="0" borderId="3" xfId="0" applyNumberFormat="1" applyFont="1" applyBorder="1" applyAlignment="1">
      <alignment horizontal="center" vertical="top" shrinkToFit="1"/>
    </xf>
    <xf numFmtId="0" fontId="8" fillId="5" borderId="4" xfId="0" applyFont="1" applyFill="1" applyBorder="1" applyAlignment="1">
      <alignment horizontal="left" vertical="center" wrapText="1"/>
    </xf>
    <xf numFmtId="2" fontId="9" fillId="5" borderId="4" xfId="0" applyNumberFormat="1" applyFont="1" applyFill="1" applyBorder="1" applyAlignment="1">
      <alignment horizontal="center" vertical="center" shrinkToFit="1"/>
    </xf>
    <xf numFmtId="0" fontId="0" fillId="9" borderId="4" xfId="0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left" vertical="center" wrapText="1"/>
    </xf>
    <xf numFmtId="165" fontId="8" fillId="9" borderId="4" xfId="0" applyNumberFormat="1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wrapText="1"/>
    </xf>
    <xf numFmtId="165" fontId="9" fillId="5" borderId="4" xfId="0" applyNumberFormat="1" applyFont="1" applyFill="1" applyBorder="1" applyAlignment="1">
      <alignment horizontal="center" vertical="center" shrinkToFit="1"/>
    </xf>
    <xf numFmtId="165" fontId="0" fillId="8" borderId="4" xfId="0" applyNumberFormat="1" applyFill="1" applyBorder="1" applyAlignment="1">
      <alignment horizontal="center" vertical="center" wrapText="1"/>
    </xf>
    <xf numFmtId="165" fontId="0" fillId="9" borderId="4" xfId="0" applyNumberFormat="1" applyFill="1" applyBorder="1" applyAlignment="1">
      <alignment horizontal="center" vertical="center" wrapText="1"/>
    </xf>
    <xf numFmtId="165" fontId="5" fillId="9" borderId="4" xfId="0" applyNumberFormat="1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top" shrinkToFit="1"/>
    </xf>
    <xf numFmtId="2" fontId="9" fillId="0" borderId="3" xfId="0" applyNumberFormat="1" applyFont="1" applyBorder="1" applyAlignment="1">
      <alignment horizontal="center" shrinkToFit="1"/>
    </xf>
    <xf numFmtId="4" fontId="0" fillId="0" borderId="0" xfId="0" applyNumberFormat="1"/>
    <xf numFmtId="4" fontId="10" fillId="8" borderId="2" xfId="0" applyNumberFormat="1" applyFont="1" applyFill="1" applyBorder="1" applyAlignment="1">
      <alignment horizontal="center" vertical="center" shrinkToFit="1"/>
    </xf>
    <xf numFmtId="0" fontId="0" fillId="5" borderId="0" xfId="0" applyFill="1" applyBorder="1" applyAlignment="1">
      <alignment horizontal="left" wrapText="1"/>
    </xf>
    <xf numFmtId="2" fontId="9" fillId="5" borderId="0" xfId="0" applyNumberFormat="1" applyFont="1" applyFill="1" applyBorder="1" applyAlignment="1">
      <alignment horizontal="left" vertical="top" indent="15" shrinkToFit="1"/>
    </xf>
    <xf numFmtId="2" fontId="8" fillId="0" borderId="3" xfId="0" applyNumberFormat="1" applyFont="1" applyBorder="1" applyAlignment="1">
      <alignment horizontal="center" vertical="top" wrapText="1"/>
    </xf>
    <xf numFmtId="4" fontId="9" fillId="5" borderId="0" xfId="0" applyNumberFormat="1" applyFont="1" applyFill="1" applyBorder="1" applyAlignment="1">
      <alignment horizontal="left" indent="15" shrinkToFi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top" wrapText="1"/>
    </xf>
    <xf numFmtId="165" fontId="0" fillId="4" borderId="4" xfId="0" applyNumberFormat="1" applyFill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 shrinkToFit="1"/>
    </xf>
    <xf numFmtId="0" fontId="0" fillId="5" borderId="0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center" vertical="center" wrapText="1"/>
    </xf>
    <xf numFmtId="2" fontId="9" fillId="5" borderId="0" xfId="0" applyNumberFormat="1" applyFont="1" applyFill="1" applyBorder="1" applyAlignment="1">
      <alignment horizontal="left" vertical="center" indent="1" shrinkToFit="1"/>
    </xf>
    <xf numFmtId="0" fontId="8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8" borderId="7" xfId="0" applyFill="1" applyBorder="1" applyAlignment="1">
      <alignment horizontal="left" wrapText="1"/>
    </xf>
    <xf numFmtId="165" fontId="4" fillId="8" borderId="2" xfId="0" applyNumberFormat="1" applyFont="1" applyFill="1" applyBorder="1" applyAlignment="1">
      <alignment horizontal="center" vertical="top" wrapText="1"/>
    </xf>
    <xf numFmtId="165" fontId="4" fillId="5" borderId="0" xfId="0" applyNumberFormat="1" applyFont="1" applyFill="1" applyBorder="1" applyAlignment="1">
      <alignment horizontal="right" vertical="top" wrapText="1"/>
    </xf>
    <xf numFmtId="0" fontId="4" fillId="5" borderId="8" xfId="0" applyFont="1" applyFill="1" applyBorder="1" applyAlignment="1">
      <alignment horizontal="right" vertical="top" wrapText="1"/>
    </xf>
    <xf numFmtId="0" fontId="0" fillId="0" borderId="0" xfId="0" applyBorder="1" applyAlignment="1">
      <alignment horizontal="left" wrapText="1"/>
    </xf>
    <xf numFmtId="165" fontId="0" fillId="0" borderId="0" xfId="0" applyNumberFormat="1" applyBorder="1" applyAlignment="1">
      <alignment horizontal="left" wrapText="1"/>
    </xf>
    <xf numFmtId="0" fontId="0" fillId="5" borderId="0" xfId="0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0" fillId="5" borderId="11" xfId="0" applyFill="1" applyBorder="1" applyAlignment="1">
      <alignment horizontal="left" vertical="top" wrapText="1"/>
    </xf>
    <xf numFmtId="0" fontId="0" fillId="0" borderId="0" xfId="0" applyBorder="1"/>
    <xf numFmtId="0" fontId="0" fillId="0" borderId="41" xfId="0" applyBorder="1"/>
    <xf numFmtId="0" fontId="0" fillId="0" borderId="45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45" xfId="0" applyFont="1" applyBorder="1" applyAlignment="1">
      <alignment horizontal="left"/>
    </xf>
    <xf numFmtId="49" fontId="14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/>
    <xf numFmtId="0" fontId="0" fillId="0" borderId="41" xfId="0" applyBorder="1" applyAlignment="1"/>
    <xf numFmtId="0" fontId="0" fillId="0" borderId="45" xfId="0" applyFont="1" applyBorder="1"/>
    <xf numFmtId="49" fontId="14" fillId="0" borderId="14" xfId="0" applyNumberFormat="1" applyFont="1" applyBorder="1" applyAlignment="1">
      <alignment horizontal="center" vertical="center"/>
    </xf>
    <xf numFmtId="0" fontId="0" fillId="0" borderId="14" xfId="0" applyBorder="1"/>
    <xf numFmtId="0" fontId="4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left" wrapText="1"/>
    </xf>
    <xf numFmtId="0" fontId="5" fillId="0" borderId="12" xfId="0" applyFont="1" applyBorder="1" applyAlignment="1">
      <alignment horizontal="left" vertical="top" wrapText="1"/>
    </xf>
    <xf numFmtId="0" fontId="0" fillId="8" borderId="2" xfId="0" applyFill="1" applyBorder="1" applyAlignment="1">
      <alignment horizontal="center" vertical="center" wrapText="1"/>
    </xf>
    <xf numFmtId="165" fontId="0" fillId="8" borderId="2" xfId="0" applyNumberFormat="1" applyFill="1" applyBorder="1" applyAlignment="1">
      <alignment horizontal="center" vertical="center" wrapText="1"/>
    </xf>
    <xf numFmtId="165" fontId="0" fillId="4" borderId="2" xfId="0" applyNumberForma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5" fontId="0" fillId="0" borderId="0" xfId="0" applyNumberFormat="1"/>
    <xf numFmtId="2" fontId="9" fillId="12" borderId="3" xfId="0" applyNumberFormat="1" applyFont="1" applyFill="1" applyBorder="1" applyAlignment="1">
      <alignment horizontal="center" vertical="top" shrinkToFit="1"/>
    </xf>
    <xf numFmtId="2" fontId="9" fillId="12" borderId="4" xfId="0" applyNumberFormat="1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wrapText="1"/>
    </xf>
    <xf numFmtId="0" fontId="0" fillId="8" borderId="7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41" xfId="0" applyFont="1" applyBorder="1" applyAlignment="1"/>
    <xf numFmtId="0" fontId="0" fillId="0" borderId="14" xfId="0" applyFont="1" applyBorder="1" applyAlignment="1"/>
    <xf numFmtId="0" fontId="0" fillId="0" borderId="47" xfId="0" applyFont="1" applyBorder="1" applyAlignment="1"/>
    <xf numFmtId="0" fontId="0" fillId="0" borderId="46" xfId="0" applyBorder="1"/>
    <xf numFmtId="0" fontId="0" fillId="0" borderId="0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3" borderId="52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1" fontId="6" fillId="4" borderId="52" xfId="0" applyNumberFormat="1" applyFont="1" applyFill="1" applyBorder="1" applyAlignment="1">
      <alignment horizontal="center" vertical="center" shrinkToFit="1"/>
    </xf>
    <xf numFmtId="165" fontId="6" fillId="4" borderId="53" xfId="0" applyNumberFormat="1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165" fontId="5" fillId="2" borderId="53" xfId="0" applyNumberFormat="1" applyFont="1" applyFill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165" fontId="8" fillId="0" borderId="41" xfId="0" applyNumberFormat="1" applyFont="1" applyBorder="1" applyAlignment="1">
      <alignment horizontal="center" vertical="center" wrapText="1"/>
    </xf>
    <xf numFmtId="0" fontId="5" fillId="8" borderId="52" xfId="0" applyFont="1" applyFill="1" applyBorder="1" applyAlignment="1">
      <alignment horizontal="center" vertical="center" wrapText="1"/>
    </xf>
    <xf numFmtId="165" fontId="5" fillId="8" borderId="53" xfId="0" applyNumberFormat="1" applyFont="1" applyFill="1" applyBorder="1" applyAlignment="1">
      <alignment horizontal="center" vertical="center" wrapText="1"/>
    </xf>
    <xf numFmtId="0" fontId="5" fillId="9" borderId="52" xfId="0" applyFont="1" applyFill="1" applyBorder="1" applyAlignment="1">
      <alignment horizontal="center" vertical="center" wrapText="1"/>
    </xf>
    <xf numFmtId="165" fontId="8" fillId="9" borderId="53" xfId="0" applyNumberFormat="1" applyFont="1" applyFill="1" applyBorder="1" applyAlignment="1">
      <alignment horizontal="center" vertical="center" wrapText="1"/>
    </xf>
    <xf numFmtId="165" fontId="5" fillId="9" borderId="53" xfId="0" applyNumberFormat="1" applyFont="1" applyFill="1" applyBorder="1" applyAlignment="1">
      <alignment horizontal="center" vertical="center" wrapText="1"/>
    </xf>
    <xf numFmtId="1" fontId="10" fillId="4" borderId="52" xfId="0" applyNumberFormat="1" applyFont="1" applyFill="1" applyBorder="1" applyAlignment="1">
      <alignment horizontal="center" vertical="center" shrinkToFit="1"/>
    </xf>
    <xf numFmtId="165" fontId="5" fillId="4" borderId="53" xfId="0" applyNumberFormat="1" applyFont="1" applyFill="1" applyBorder="1" applyAlignment="1">
      <alignment horizontal="center" vertical="center" wrapText="1"/>
    </xf>
    <xf numFmtId="4" fontId="10" fillId="8" borderId="54" xfId="0" applyNumberFormat="1" applyFont="1" applyFill="1" applyBorder="1" applyAlignment="1">
      <alignment horizontal="center" vertical="center" shrinkToFit="1"/>
    </xf>
    <xf numFmtId="4" fontId="10" fillId="4" borderId="54" xfId="0" applyNumberFormat="1" applyFont="1" applyFill="1" applyBorder="1" applyAlignment="1">
      <alignment horizontal="center" vertical="center" shrinkToFit="1"/>
    </xf>
    <xf numFmtId="0" fontId="0" fillId="0" borderId="45" xfId="0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165" fontId="4" fillId="8" borderId="54" xfId="0" applyNumberFormat="1" applyFont="1" applyFill="1" applyBorder="1" applyAlignment="1">
      <alignment horizontal="center" vertical="top" wrapText="1"/>
    </xf>
    <xf numFmtId="0" fontId="5" fillId="0" borderId="41" xfId="0" applyFont="1" applyBorder="1" applyAlignment="1">
      <alignment horizontal="left" vertical="top" wrapText="1"/>
    </xf>
    <xf numFmtId="0" fontId="5" fillId="0" borderId="41" xfId="0" applyFont="1" applyBorder="1" applyAlignment="1">
      <alignment horizontal="center" vertical="center" wrapText="1"/>
    </xf>
    <xf numFmtId="0" fontId="10" fillId="5" borderId="47" xfId="0" applyFont="1" applyFill="1" applyBorder="1" applyAlignment="1">
      <alignment horizontal="center" vertical="center" wrapText="1"/>
    </xf>
    <xf numFmtId="0" fontId="16" fillId="0" borderId="16" xfId="2" applyFont="1" applyBorder="1" applyAlignment="1">
      <alignment horizontal="center" vertical="center"/>
    </xf>
    <xf numFmtId="0" fontId="16" fillId="0" borderId="17" xfId="2" applyFont="1" applyBorder="1" applyAlignment="1">
      <alignment horizontal="center" vertical="center" wrapText="1"/>
    </xf>
    <xf numFmtId="0" fontId="16" fillId="0" borderId="18" xfId="2" applyFont="1" applyBorder="1" applyAlignment="1">
      <alignment horizontal="center" vertical="center"/>
    </xf>
    <xf numFmtId="0" fontId="16" fillId="0" borderId="19" xfId="2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16" fillId="0" borderId="20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166" fontId="16" fillId="13" borderId="23" xfId="1" applyFont="1" applyFill="1" applyBorder="1" applyAlignment="1" applyProtection="1"/>
    <xf numFmtId="0" fontId="16" fillId="13" borderId="24" xfId="2" applyFont="1" applyFill="1" applyBorder="1" applyAlignment="1">
      <alignment horizontal="center"/>
    </xf>
    <xf numFmtId="166" fontId="16" fillId="13" borderId="21" xfId="1" applyFont="1" applyFill="1" applyBorder="1" applyAlignment="1" applyProtection="1">
      <alignment horizontal="center"/>
    </xf>
    <xf numFmtId="164" fontId="16" fillId="13" borderId="12" xfId="3" applyFont="1" applyFill="1" applyBorder="1" applyAlignment="1" applyProtection="1">
      <alignment horizontal="center"/>
    </xf>
    <xf numFmtId="164" fontId="16" fillId="13" borderId="25" xfId="3" applyFont="1" applyFill="1" applyBorder="1" applyAlignment="1" applyProtection="1">
      <alignment horizontal="center"/>
    </xf>
    <xf numFmtId="164" fontId="16" fillId="13" borderId="26" xfId="3" applyFont="1" applyFill="1" applyBorder="1" applyAlignment="1" applyProtection="1">
      <alignment horizontal="center"/>
    </xf>
    <xf numFmtId="164" fontId="16" fillId="13" borderId="21" xfId="3" applyFont="1" applyFill="1" applyBorder="1" applyAlignment="1" applyProtection="1">
      <alignment horizontal="center"/>
    </xf>
    <xf numFmtId="10" fontId="16" fillId="0" borderId="3" xfId="3" applyNumberFormat="1" applyFont="1" applyBorder="1" applyAlignment="1" applyProtection="1"/>
    <xf numFmtId="0" fontId="16" fillId="0" borderId="27" xfId="2" applyFont="1" applyBorder="1" applyAlignment="1">
      <alignment horizontal="center"/>
    </xf>
    <xf numFmtId="10" fontId="16" fillId="5" borderId="28" xfId="2" applyNumberFormat="1" applyFont="1" applyFill="1" applyBorder="1" applyAlignment="1">
      <alignment horizontal="center"/>
    </xf>
    <xf numFmtId="10" fontId="16" fillId="5" borderId="8" xfId="2" applyNumberFormat="1" applyFont="1" applyFill="1" applyBorder="1" applyAlignment="1">
      <alignment horizontal="center"/>
    </xf>
    <xf numFmtId="10" fontId="16" fillId="5" borderId="29" xfId="2" applyNumberFormat="1" applyFont="1" applyFill="1" applyBorder="1" applyAlignment="1">
      <alignment horizontal="center"/>
    </xf>
    <xf numFmtId="10" fontId="16" fillId="0" borderId="28" xfId="2" applyNumberFormat="1" applyFont="1" applyBorder="1" applyAlignment="1">
      <alignment horizontal="center"/>
    </xf>
    <xf numFmtId="166" fontId="16" fillId="13" borderId="3" xfId="1" applyFont="1" applyFill="1" applyBorder="1" applyAlignment="1" applyProtection="1"/>
    <xf numFmtId="0" fontId="16" fillId="13" borderId="27" xfId="2" applyFont="1" applyFill="1" applyBorder="1" applyAlignment="1">
      <alignment horizontal="center"/>
    </xf>
    <xf numFmtId="166" fontId="16" fillId="13" borderId="28" xfId="1" applyFont="1" applyFill="1" applyBorder="1" applyAlignment="1" applyProtection="1">
      <alignment horizontal="center"/>
    </xf>
    <xf numFmtId="166" fontId="16" fillId="13" borderId="8" xfId="1" applyFont="1" applyFill="1" applyBorder="1" applyAlignment="1" applyProtection="1">
      <alignment horizontal="center"/>
    </xf>
    <xf numFmtId="166" fontId="16" fillId="13" borderId="29" xfId="1" applyFont="1" applyFill="1" applyBorder="1" applyAlignment="1" applyProtection="1">
      <alignment horizontal="center"/>
    </xf>
    <xf numFmtId="166" fontId="16" fillId="13" borderId="25" xfId="1" applyFont="1" applyFill="1" applyBorder="1" applyAlignment="1" applyProtection="1">
      <alignment horizontal="center"/>
    </xf>
    <xf numFmtId="166" fontId="16" fillId="13" borderId="28" xfId="1" applyNumberFormat="1" applyFont="1" applyFill="1" applyBorder="1" applyAlignment="1" applyProtection="1">
      <alignment horizontal="center"/>
    </xf>
    <xf numFmtId="166" fontId="16" fillId="13" borderId="32" xfId="1" applyFont="1" applyFill="1" applyBorder="1" applyAlignment="1" applyProtection="1"/>
    <xf numFmtId="0" fontId="16" fillId="13" borderId="33" xfId="2" applyFont="1" applyFill="1" applyBorder="1" applyAlignment="1">
      <alignment horizontal="center"/>
    </xf>
    <xf numFmtId="166" fontId="16" fillId="13" borderId="21" xfId="1" applyFont="1" applyFill="1" applyBorder="1" applyAlignment="1" applyProtection="1"/>
    <xf numFmtId="166" fontId="16" fillId="13" borderId="34" xfId="1" applyFont="1" applyFill="1" applyBorder="1" applyAlignment="1" applyProtection="1"/>
    <xf numFmtId="10" fontId="16" fillId="0" borderId="35" xfId="3" applyNumberFormat="1" applyFont="1" applyBorder="1" applyAlignment="1" applyProtection="1"/>
    <xf numFmtId="0" fontId="16" fillId="0" borderId="36" xfId="2" applyFont="1" applyBorder="1" applyAlignment="1">
      <alignment horizontal="center"/>
    </xf>
    <xf numFmtId="10" fontId="16" fillId="5" borderId="38" xfId="2" applyNumberFormat="1" applyFont="1" applyFill="1" applyBorder="1" applyAlignment="1">
      <alignment horizontal="center"/>
    </xf>
    <xf numFmtId="10" fontId="16" fillId="5" borderId="39" xfId="2" applyNumberFormat="1" applyFont="1" applyFill="1" applyBorder="1" applyAlignment="1">
      <alignment horizontal="center"/>
    </xf>
    <xf numFmtId="10" fontId="16" fillId="5" borderId="49" xfId="2" applyNumberFormat="1" applyFont="1" applyFill="1" applyBorder="1" applyAlignment="1">
      <alignment horizontal="center"/>
    </xf>
    <xf numFmtId="10" fontId="16" fillId="0" borderId="38" xfId="2" applyNumberFormat="1" applyFont="1" applyBorder="1" applyAlignment="1">
      <alignment horizontal="center"/>
    </xf>
    <xf numFmtId="0" fontId="16" fillId="0" borderId="48" xfId="2" applyFont="1" applyBorder="1" applyAlignment="1">
      <alignment horizontal="center"/>
    </xf>
    <xf numFmtId="10" fontId="16" fillId="0" borderId="42" xfId="3" applyNumberFormat="1" applyFont="1" applyBorder="1" applyAlignment="1" applyProtection="1"/>
    <xf numFmtId="0" fontId="16" fillId="0" borderId="43" xfId="2" applyFont="1" applyBorder="1" applyAlignment="1">
      <alignment horizontal="center"/>
    </xf>
    <xf numFmtId="10" fontId="16" fillId="0" borderId="37" xfId="2" applyNumberFormat="1" applyFont="1" applyBorder="1" applyAlignment="1">
      <alignment horizontal="center"/>
    </xf>
    <xf numFmtId="0" fontId="16" fillId="0" borderId="41" xfId="2" applyFont="1" applyBorder="1" applyAlignment="1">
      <alignment horizontal="center"/>
    </xf>
    <xf numFmtId="0" fontId="0" fillId="0" borderId="50" xfId="0" applyBorder="1" applyAlignment="1">
      <alignment horizontal="left" vertical="top" wrapText="1"/>
    </xf>
    <xf numFmtId="0" fontId="0" fillId="0" borderId="51" xfId="0" applyBorder="1" applyAlignment="1">
      <alignment horizontal="left" vertical="top" wrapText="1"/>
    </xf>
    <xf numFmtId="0" fontId="2" fillId="0" borderId="44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vertical="top" wrapText="1"/>
    </xf>
    <xf numFmtId="0" fontId="5" fillId="0" borderId="4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1" xfId="0" applyFont="1" applyBorder="1" applyAlignment="1">
      <alignment horizontal="left" vertical="top" wrapText="1"/>
    </xf>
    <xf numFmtId="0" fontId="0" fillId="0" borderId="0" xfId="0" applyBorder="1" applyAlignment="1">
      <alignment horizontal="center" wrapText="1"/>
    </xf>
    <xf numFmtId="0" fontId="0" fillId="10" borderId="8" xfId="0" applyFill="1" applyBorder="1" applyAlignment="1">
      <alignment horizontal="center" wrapText="1"/>
    </xf>
    <xf numFmtId="0" fontId="0" fillId="0" borderId="45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5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left" vertical="center" wrapText="1"/>
    </xf>
    <xf numFmtId="0" fontId="10" fillId="5" borderId="58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4" fillId="8" borderId="55" xfId="0" applyFont="1" applyFill="1" applyBorder="1" applyAlignment="1">
      <alignment horizontal="center" vertical="top" wrapText="1"/>
    </xf>
    <xf numFmtId="0" fontId="4" fillId="8" borderId="1" xfId="0" applyFont="1" applyFill="1" applyBorder="1" applyAlignment="1">
      <alignment horizontal="center" vertical="top" wrapText="1"/>
    </xf>
    <xf numFmtId="0" fontId="0" fillId="8" borderId="7" xfId="0" applyFill="1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41" xfId="0" applyBorder="1" applyAlignment="1">
      <alignment horizontal="center" vertical="top" wrapText="1"/>
    </xf>
    <xf numFmtId="0" fontId="12" fillId="0" borderId="13" xfId="0" applyFont="1" applyBorder="1" applyAlignment="1">
      <alignment horizontal="center" vertical="center" wrapText="1"/>
    </xf>
    <xf numFmtId="0" fontId="13" fillId="11" borderId="13" xfId="2" applyFont="1" applyFill="1" applyBorder="1" applyAlignment="1">
      <alignment horizontal="center"/>
    </xf>
    <xf numFmtId="0" fontId="0" fillId="0" borderId="16" xfId="0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16" fillId="0" borderId="21" xfId="2" applyFont="1" applyBorder="1" applyAlignment="1">
      <alignment horizontal="center" vertical="center"/>
    </xf>
    <xf numFmtId="0" fontId="16" fillId="0" borderId="22" xfId="2" applyFont="1" applyBorder="1" applyAlignment="1">
      <alignment vertical="center" wrapText="1"/>
    </xf>
    <xf numFmtId="0" fontId="16" fillId="0" borderId="28" xfId="2" applyFont="1" applyBorder="1" applyAlignment="1">
      <alignment horizontal="center" vertical="center"/>
    </xf>
    <xf numFmtId="0" fontId="16" fillId="0" borderId="30" xfId="2" applyFont="1" applyBorder="1" applyAlignment="1">
      <alignment vertical="center"/>
    </xf>
    <xf numFmtId="0" fontId="16" fillId="0" borderId="30" xfId="2" applyFont="1" applyBorder="1" applyAlignment="1">
      <alignment vertical="center" wrapText="1"/>
    </xf>
    <xf numFmtId="0" fontId="16" fillId="0" borderId="15" xfId="2" applyFont="1" applyBorder="1" applyAlignment="1">
      <alignment horizontal="center" vertical="center"/>
    </xf>
    <xf numFmtId="167" fontId="16" fillId="0" borderId="31" xfId="2" applyNumberFormat="1" applyFont="1" applyBorder="1" applyAlignment="1">
      <alignment vertical="center"/>
    </xf>
    <xf numFmtId="0" fontId="16" fillId="0" borderId="13" xfId="2" applyFont="1" applyBorder="1" applyAlignment="1">
      <alignment horizontal="center" vertical="center"/>
    </xf>
    <xf numFmtId="167" fontId="16" fillId="0" borderId="40" xfId="2" applyNumberFormat="1" applyFont="1" applyBorder="1" applyAlignment="1">
      <alignment vertical="center"/>
    </xf>
    <xf numFmtId="0" fontId="0" fillId="0" borderId="16" xfId="0" applyFont="1" applyBorder="1" applyAlignment="1">
      <alignment horizontal="center"/>
    </xf>
    <xf numFmtId="1" fontId="16" fillId="0" borderId="28" xfId="2" applyNumberFormat="1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38" xfId="2"/>
    <cellStyle name="Vírgula 1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69A2E"/>
      <rgbColor rgb="FF000080"/>
      <rgbColor rgb="FF808000"/>
      <rgbColor rgb="FF800080"/>
      <rgbColor rgb="FF00A933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5BAB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CB3E2"/>
      <rgbColor rgb="FFFF99CC"/>
      <rgbColor rgb="FFCC99FF"/>
      <rgbColor rgb="FFDDD8C3"/>
      <rgbColor rgb="FF3366FF"/>
      <rgbColor rgb="FF33CCCC"/>
      <rgbColor rgb="FF91CF50"/>
      <rgbColor rgb="FFFFCC00"/>
      <rgbColor rgb="FFFF9900"/>
      <rgbColor rgb="FFFF4000"/>
      <rgbColor rgb="FF666699"/>
      <rgbColor rgb="FF969696"/>
      <rgbColor rgb="FF003366"/>
      <rgbColor rgb="FF3FAF4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19440</xdr:colOff>
      <xdr:row>55</xdr:row>
      <xdr:rowOff>7200</xdr:rowOff>
    </xdr:from>
    <xdr:to>
      <xdr:col>4</xdr:col>
      <xdr:colOff>158400</xdr:colOff>
      <xdr:row>55</xdr:row>
      <xdr:rowOff>29880</xdr:rowOff>
    </xdr:to>
    <xdr:sp macro="" textlink="">
      <xdr:nvSpPr>
        <xdr:cNvPr id="2" name="CustomShape 1"/>
        <xdr:cNvSpPr/>
      </xdr:nvSpPr>
      <xdr:spPr>
        <a:xfrm>
          <a:off x="4317120" y="10576140"/>
          <a:ext cx="138960" cy="22680"/>
        </a:xfrm>
        <a:custGeom>
          <a:avLst/>
          <a:gdLst/>
          <a:ahLst/>
          <a:cxnLst/>
          <a:rect l="l" t="t" r="r" b="b"/>
          <a:pathLst>
            <a:path w="2020570">
              <a:moveTo>
                <a:pt x="0" y="0"/>
              </a:moveTo>
              <a:lnTo>
                <a:pt x="2020529" y="0"/>
              </a:lnTo>
            </a:path>
          </a:pathLst>
        </a:custGeom>
        <a:noFill/>
        <a:ln w="612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25200</xdr:colOff>
      <xdr:row>0</xdr:row>
      <xdr:rowOff>56000</xdr:rowOff>
    </xdr:from>
    <xdr:to>
      <xdr:col>3</xdr:col>
      <xdr:colOff>1054100</xdr:colOff>
      <xdr:row>0</xdr:row>
      <xdr:rowOff>673100</xdr:rowOff>
    </xdr:to>
    <xdr:pic>
      <xdr:nvPicPr>
        <xdr:cNvPr id="3" name="Figura 1"/>
        <xdr:cNvPicPr/>
      </xdr:nvPicPr>
      <xdr:blipFill>
        <a:blip xmlns:r="http://schemas.openxmlformats.org/officeDocument/2006/relationships" r:embed="rId1" cstate="print"/>
        <a:srcRect l="10320" t="31483" r="13784" b="30626"/>
        <a:stretch/>
      </xdr:blipFill>
      <xdr:spPr>
        <a:xfrm>
          <a:off x="25200" y="56000"/>
          <a:ext cx="2292550" cy="6171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631800</xdr:colOff>
      <xdr:row>0</xdr:row>
      <xdr:rowOff>65520</xdr:rowOff>
    </xdr:from>
    <xdr:to>
      <xdr:col>1</xdr:col>
      <xdr:colOff>728820</xdr:colOff>
      <xdr:row>1</xdr:row>
      <xdr:rowOff>16563</xdr:rowOff>
    </xdr:to>
    <xdr:pic>
      <xdr:nvPicPr>
        <xdr:cNvPr id="2" name="Imagem 5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631800" y="65520"/>
          <a:ext cx="729480" cy="7155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3"/>
  <sheetViews>
    <sheetView topLeftCell="A29" zoomScale="150" zoomScaleNormal="150" workbookViewId="0">
      <selection activeCell="I34" sqref="I34"/>
    </sheetView>
  </sheetViews>
  <sheetFormatPr defaultRowHeight="12.75"/>
  <cols>
    <col min="1" max="1" width="5.1640625" customWidth="1"/>
    <col min="2" max="2" width="8" customWidth="1"/>
    <col min="3" max="3" width="8.83203125" customWidth="1"/>
    <col min="4" max="4" width="40.6640625" style="1" customWidth="1"/>
    <col min="5" max="5" width="4.6640625" customWidth="1"/>
    <col min="6" max="6" width="7.5" customWidth="1"/>
    <col min="7" max="8" width="9.5" customWidth="1"/>
    <col min="9" max="10" width="13.33203125" customWidth="1"/>
    <col min="11" max="11" width="12.1640625" customWidth="1"/>
    <col min="12" max="12" width="0.6640625" customWidth="1"/>
    <col min="13" max="13" width="7.5" customWidth="1"/>
    <col min="14" max="14" width="8.5" customWidth="1"/>
    <col min="15" max="15" width="13.33203125" customWidth="1"/>
    <col min="16" max="16" width="9.83203125" customWidth="1"/>
    <col min="17" max="17" width="15.5" customWidth="1"/>
    <col min="18" max="1026" width="8.5" customWidth="1"/>
  </cols>
  <sheetData>
    <row r="1" spans="1:13" ht="62.65" customHeight="1">
      <c r="A1" s="165"/>
      <c r="B1" s="166"/>
      <c r="C1" s="166"/>
      <c r="D1" s="167" t="s">
        <v>0</v>
      </c>
      <c r="E1" s="167"/>
      <c r="F1" s="167"/>
      <c r="G1" s="167"/>
      <c r="H1" s="167"/>
      <c r="I1" s="167"/>
      <c r="J1" s="168"/>
      <c r="M1" s="2"/>
    </row>
    <row r="2" spans="1:13" ht="12.75" customHeight="1">
      <c r="A2" s="169" t="s">
        <v>1</v>
      </c>
      <c r="B2" s="170"/>
      <c r="C2" s="170"/>
      <c r="D2" s="170"/>
      <c r="E2" s="170"/>
      <c r="F2" s="170"/>
      <c r="G2" s="170"/>
      <c r="H2" s="170"/>
      <c r="I2" s="170"/>
      <c r="J2" s="171"/>
      <c r="M2" s="79"/>
    </row>
    <row r="3" spans="1:13" ht="39.950000000000003" customHeight="1">
      <c r="A3" s="172" t="s">
        <v>402</v>
      </c>
      <c r="B3" s="173"/>
      <c r="C3" s="173"/>
      <c r="D3" s="173"/>
      <c r="E3" s="173"/>
      <c r="F3" s="173"/>
      <c r="G3" s="173"/>
      <c r="H3" s="173"/>
      <c r="I3" s="173"/>
      <c r="J3" s="174"/>
      <c r="M3" s="19">
        <v>4</v>
      </c>
    </row>
    <row r="4" spans="1:13" ht="19.899999999999999" customHeight="1">
      <c r="A4" s="99" t="s">
        <v>2</v>
      </c>
      <c r="B4" s="3" t="s">
        <v>3</v>
      </c>
      <c r="C4" s="3" t="s">
        <v>4</v>
      </c>
      <c r="D4" s="4" t="s">
        <v>5</v>
      </c>
      <c r="E4" s="3" t="s">
        <v>6</v>
      </c>
      <c r="F4" s="3" t="s">
        <v>7</v>
      </c>
      <c r="G4" s="3" t="s">
        <v>8</v>
      </c>
      <c r="H4" s="3" t="s">
        <v>365</v>
      </c>
      <c r="I4" s="3" t="s">
        <v>366</v>
      </c>
      <c r="J4" s="100" t="s">
        <v>364</v>
      </c>
      <c r="M4" s="5" t="s">
        <v>7</v>
      </c>
    </row>
    <row r="5" spans="1:13" ht="8.25" customHeight="1">
      <c r="A5" s="101">
        <v>1</v>
      </c>
      <c r="B5" s="6"/>
      <c r="C5" s="6"/>
      <c r="D5" s="7" t="s">
        <v>9</v>
      </c>
      <c r="E5" s="6"/>
      <c r="F5" s="6"/>
      <c r="G5" s="6"/>
      <c r="H5" s="85">
        <v>0.2296</v>
      </c>
      <c r="I5" s="8">
        <f>SUM(I6,I9,I20,I29,I33,I39,I46,I56,I91,I116)</f>
        <v>289851.27999999997</v>
      </c>
      <c r="J5" s="102">
        <f>SUM(J6,J9,J20,J29,J33,J39,J46,J56,J91,J116)</f>
        <v>356392.94</v>
      </c>
      <c r="K5" s="86"/>
      <c r="M5" s="9"/>
    </row>
    <row r="6" spans="1:13" ht="8.25" customHeight="1">
      <c r="A6" s="103" t="s">
        <v>10</v>
      </c>
      <c r="B6" s="10"/>
      <c r="C6" s="10"/>
      <c r="D6" s="11" t="s">
        <v>11</v>
      </c>
      <c r="E6" s="10"/>
      <c r="F6" s="10"/>
      <c r="G6" s="10"/>
      <c r="H6" s="12"/>
      <c r="I6" s="12">
        <f>I7+I8</f>
        <v>3754.9799999999996</v>
      </c>
      <c r="J6" s="104">
        <f>J7+J8</f>
        <v>4616.57</v>
      </c>
      <c r="M6" s="13"/>
    </row>
    <row r="7" spans="1:13" ht="8.25" customHeight="1">
      <c r="A7" s="105" t="s">
        <v>12</v>
      </c>
      <c r="B7" s="14" t="s">
        <v>13</v>
      </c>
      <c r="C7" s="14" t="s">
        <v>14</v>
      </c>
      <c r="D7" s="15" t="s">
        <v>15</v>
      </c>
      <c r="E7" s="14" t="s">
        <v>16</v>
      </c>
      <c r="F7" s="16">
        <f>L7*$M$3</f>
        <v>167.48</v>
      </c>
      <c r="G7" s="17">
        <v>16.260000000000002</v>
      </c>
      <c r="H7" s="17">
        <f>ROUND((G7*$H$5+G7),2)</f>
        <v>19.989999999999998</v>
      </c>
      <c r="I7" s="18">
        <f>ROUND((F7*G7),2)</f>
        <v>2723.22</v>
      </c>
      <c r="J7" s="106">
        <f>ROUND((F7*H7),2)</f>
        <v>3347.93</v>
      </c>
      <c r="L7" s="19">
        <v>41.87</v>
      </c>
      <c r="M7" s="19">
        <v>279.2</v>
      </c>
    </row>
    <row r="8" spans="1:13" ht="8.25" customHeight="1">
      <c r="A8" s="105" t="s">
        <v>401</v>
      </c>
      <c r="B8" s="14" t="s">
        <v>13</v>
      </c>
      <c r="C8" s="14" t="s">
        <v>400</v>
      </c>
      <c r="D8" s="15" t="s">
        <v>399</v>
      </c>
      <c r="E8" s="14" t="s">
        <v>16</v>
      </c>
      <c r="F8" s="16">
        <v>6</v>
      </c>
      <c r="G8" s="17">
        <v>171.96</v>
      </c>
      <c r="H8" s="17">
        <f>ROUND((G8*$H$5+G8),2)</f>
        <v>211.44</v>
      </c>
      <c r="I8" s="18">
        <f>ROUND((F8*G8),2)</f>
        <v>1031.76</v>
      </c>
      <c r="J8" s="106">
        <f>ROUND((F8*H8),2)</f>
        <v>1268.6400000000001</v>
      </c>
      <c r="L8" s="19"/>
      <c r="M8" s="19"/>
    </row>
    <row r="9" spans="1:13" ht="8.25" customHeight="1">
      <c r="A9" s="103" t="s">
        <v>17</v>
      </c>
      <c r="B9" s="10"/>
      <c r="C9" s="10"/>
      <c r="D9" s="11" t="s">
        <v>18</v>
      </c>
      <c r="E9" s="10"/>
      <c r="F9" s="10"/>
      <c r="G9" s="10"/>
      <c r="H9" s="10"/>
      <c r="I9" s="12">
        <f>SUM(I10:I19)</f>
        <v>31054.99</v>
      </c>
      <c r="J9" s="104">
        <f>SUM(J10:J19)</f>
        <v>38182.869999999995</v>
      </c>
      <c r="L9" s="19">
        <f t="shared" ref="L9" si="0">M9/4*5</f>
        <v>0</v>
      </c>
      <c r="M9" s="13"/>
    </row>
    <row r="10" spans="1:13" ht="8.25" customHeight="1">
      <c r="A10" s="105" t="s">
        <v>19</v>
      </c>
      <c r="B10" s="14" t="s">
        <v>13</v>
      </c>
      <c r="C10" s="14" t="s">
        <v>20</v>
      </c>
      <c r="D10" s="15" t="s">
        <v>21</v>
      </c>
      <c r="E10" s="14" t="s">
        <v>22</v>
      </c>
      <c r="F10" s="16">
        <f t="shared" ref="F10:F19" si="1">L10*$M$3</f>
        <v>9.8952000000000009</v>
      </c>
      <c r="G10" s="17">
        <v>50.61</v>
      </c>
      <c r="H10" s="17">
        <f t="shared" ref="H10:H55" si="2">ROUND((G10*$H$5+G10),2)</f>
        <v>62.23</v>
      </c>
      <c r="I10" s="18">
        <f t="shared" ref="I10:I19" si="3">ROUND((F10*G10),2)</f>
        <v>500.8</v>
      </c>
      <c r="J10" s="106">
        <f t="shared" ref="J10:J19" si="4">ROUND((F10*H10),2)</f>
        <v>615.78</v>
      </c>
      <c r="L10" s="19">
        <f>41.23*0.2*0.3</f>
        <v>2.4738000000000002</v>
      </c>
      <c r="M10" s="19">
        <v>13.68</v>
      </c>
    </row>
    <row r="11" spans="1:13" ht="8.25" customHeight="1">
      <c r="A11" s="105" t="s">
        <v>23</v>
      </c>
      <c r="B11" s="14" t="s">
        <v>13</v>
      </c>
      <c r="C11" s="14" t="s">
        <v>24</v>
      </c>
      <c r="D11" s="15" t="s">
        <v>25</v>
      </c>
      <c r="E11" s="14" t="s">
        <v>26</v>
      </c>
      <c r="F11" s="16">
        <f t="shared" si="1"/>
        <v>613.52</v>
      </c>
      <c r="G11" s="17">
        <v>10.94</v>
      </c>
      <c r="H11" s="17">
        <f t="shared" si="2"/>
        <v>13.45</v>
      </c>
      <c r="I11" s="18">
        <f t="shared" si="3"/>
        <v>6711.91</v>
      </c>
      <c r="J11" s="106">
        <f t="shared" si="4"/>
        <v>8251.84</v>
      </c>
      <c r="L11" s="87">
        <f>153.38</f>
        <v>153.38</v>
      </c>
      <c r="M11" s="19">
        <v>450.32</v>
      </c>
    </row>
    <row r="12" spans="1:13" ht="8.25" customHeight="1">
      <c r="A12" s="105" t="s">
        <v>27</v>
      </c>
      <c r="B12" s="14" t="s">
        <v>13</v>
      </c>
      <c r="C12" s="14" t="s">
        <v>28</v>
      </c>
      <c r="D12" s="15" t="s">
        <v>29</v>
      </c>
      <c r="E12" s="14" t="s">
        <v>26</v>
      </c>
      <c r="F12" s="16">
        <f t="shared" si="1"/>
        <v>99.28</v>
      </c>
      <c r="G12" s="17">
        <v>12.17</v>
      </c>
      <c r="H12" s="17">
        <f t="shared" si="2"/>
        <v>14.96</v>
      </c>
      <c r="I12" s="18">
        <f t="shared" si="3"/>
        <v>1208.24</v>
      </c>
      <c r="J12" s="106">
        <f t="shared" si="4"/>
        <v>1485.23</v>
      </c>
      <c r="L12" s="87">
        <v>24.82</v>
      </c>
      <c r="M12" s="19">
        <v>159.04</v>
      </c>
    </row>
    <row r="13" spans="1:13" ht="24.75">
      <c r="A13" s="105" t="s">
        <v>367</v>
      </c>
      <c r="B13" s="14" t="s">
        <v>61</v>
      </c>
      <c r="C13" s="14">
        <v>94964</v>
      </c>
      <c r="D13" s="15" t="s">
        <v>360</v>
      </c>
      <c r="E13" s="14" t="s">
        <v>22</v>
      </c>
      <c r="F13" s="16">
        <f t="shared" si="1"/>
        <v>9.8952000000000009</v>
      </c>
      <c r="G13" s="17">
        <v>377.14</v>
      </c>
      <c r="H13" s="17">
        <f t="shared" si="2"/>
        <v>463.73</v>
      </c>
      <c r="I13" s="18">
        <f t="shared" si="3"/>
        <v>3731.88</v>
      </c>
      <c r="J13" s="106">
        <f t="shared" si="4"/>
        <v>4588.7</v>
      </c>
      <c r="L13" s="24">
        <f>41.23*0.2*0.3</f>
        <v>2.4738000000000002</v>
      </c>
      <c r="M13" s="19"/>
    </row>
    <row r="14" spans="1:13" ht="16.5">
      <c r="A14" s="105" t="s">
        <v>30</v>
      </c>
      <c r="B14" s="14" t="s">
        <v>13</v>
      </c>
      <c r="C14" s="14" t="s">
        <v>31</v>
      </c>
      <c r="D14" s="15" t="s">
        <v>32</v>
      </c>
      <c r="E14" s="14" t="s">
        <v>22</v>
      </c>
      <c r="F14" s="16">
        <f t="shared" si="1"/>
        <v>9.8952000000000009</v>
      </c>
      <c r="G14" s="17">
        <v>71.14</v>
      </c>
      <c r="H14" s="17">
        <f t="shared" si="2"/>
        <v>87.47</v>
      </c>
      <c r="I14" s="18">
        <f t="shared" si="3"/>
        <v>703.94</v>
      </c>
      <c r="J14" s="106">
        <f t="shared" si="4"/>
        <v>865.53</v>
      </c>
      <c r="L14" s="24">
        <f>L13</f>
        <v>2.4738000000000002</v>
      </c>
      <c r="M14" s="19">
        <v>19.96</v>
      </c>
    </row>
    <row r="15" spans="1:13" ht="8.25" customHeight="1">
      <c r="A15" s="105" t="s">
        <v>33</v>
      </c>
      <c r="B15" s="14" t="s">
        <v>13</v>
      </c>
      <c r="C15" s="14" t="s">
        <v>34</v>
      </c>
      <c r="D15" s="15" t="s">
        <v>35</v>
      </c>
      <c r="E15" s="14" t="s">
        <v>22</v>
      </c>
      <c r="F15" s="16">
        <f t="shared" si="1"/>
        <v>1.6492000000000002</v>
      </c>
      <c r="G15" s="17">
        <v>169.39</v>
      </c>
      <c r="H15" s="17">
        <f t="shared" si="2"/>
        <v>208.28</v>
      </c>
      <c r="I15" s="18">
        <f t="shared" si="3"/>
        <v>279.36</v>
      </c>
      <c r="J15" s="106">
        <f t="shared" si="4"/>
        <v>343.5</v>
      </c>
      <c r="L15" s="19">
        <f>41.23*0.2*0.05</f>
        <v>0.41230000000000006</v>
      </c>
      <c r="M15" s="19">
        <v>2.2799999999999998</v>
      </c>
    </row>
    <row r="16" spans="1:13" ht="16.5">
      <c r="A16" s="105" t="s">
        <v>36</v>
      </c>
      <c r="B16" s="14" t="s">
        <v>13</v>
      </c>
      <c r="C16" s="14" t="s">
        <v>37</v>
      </c>
      <c r="D16" s="15" t="s">
        <v>38</v>
      </c>
      <c r="E16" s="14" t="s">
        <v>16</v>
      </c>
      <c r="F16" s="16">
        <f t="shared" si="1"/>
        <v>32.984000000000002</v>
      </c>
      <c r="G16" s="17">
        <v>111.87</v>
      </c>
      <c r="H16" s="17">
        <f t="shared" si="2"/>
        <v>137.56</v>
      </c>
      <c r="I16" s="18">
        <f t="shared" si="3"/>
        <v>3689.92</v>
      </c>
      <c r="J16" s="106">
        <f t="shared" si="4"/>
        <v>4537.28</v>
      </c>
      <c r="L16" s="19">
        <f>41.23*0.2</f>
        <v>8.2460000000000004</v>
      </c>
      <c r="M16" s="19">
        <v>43.32</v>
      </c>
    </row>
    <row r="17" spans="1:13" ht="8.25" customHeight="1">
      <c r="A17" s="105" t="s">
        <v>39</v>
      </c>
      <c r="B17" s="14" t="s">
        <v>13</v>
      </c>
      <c r="C17" s="14" t="s">
        <v>40</v>
      </c>
      <c r="D17" s="15" t="s">
        <v>41</v>
      </c>
      <c r="E17" s="14" t="s">
        <v>22</v>
      </c>
      <c r="F17" s="16">
        <f t="shared" si="1"/>
        <v>2.6387200000000002</v>
      </c>
      <c r="G17" s="17">
        <v>717.9</v>
      </c>
      <c r="H17" s="17">
        <f t="shared" si="2"/>
        <v>882.73</v>
      </c>
      <c r="I17" s="18">
        <f t="shared" si="3"/>
        <v>1894.34</v>
      </c>
      <c r="J17" s="106">
        <f t="shared" si="4"/>
        <v>2329.2800000000002</v>
      </c>
      <c r="L17" s="19">
        <f>41.23*0.8*0.02</f>
        <v>0.65968000000000004</v>
      </c>
      <c r="M17" s="19">
        <v>2.04</v>
      </c>
    </row>
    <row r="18" spans="1:13" ht="16.5">
      <c r="A18" s="105" t="s">
        <v>42</v>
      </c>
      <c r="B18" s="14" t="s">
        <v>13</v>
      </c>
      <c r="C18" s="14" t="s">
        <v>43</v>
      </c>
      <c r="D18" s="15" t="s">
        <v>44</v>
      </c>
      <c r="E18" s="14" t="s">
        <v>16</v>
      </c>
      <c r="F18" s="16">
        <f t="shared" si="1"/>
        <v>131.93600000000001</v>
      </c>
      <c r="G18" s="17">
        <v>18.18</v>
      </c>
      <c r="H18" s="17">
        <f t="shared" si="2"/>
        <v>22.35</v>
      </c>
      <c r="I18" s="18">
        <f t="shared" si="3"/>
        <v>2398.6</v>
      </c>
      <c r="J18" s="106">
        <f t="shared" si="4"/>
        <v>2948.77</v>
      </c>
      <c r="L18" s="19">
        <f>41.23*0.8</f>
        <v>32.984000000000002</v>
      </c>
      <c r="M18" s="19">
        <v>136.80000000000001</v>
      </c>
    </row>
    <row r="19" spans="1:13" ht="8.25" customHeight="1">
      <c r="A19" s="105" t="s">
        <v>368</v>
      </c>
      <c r="B19" s="14" t="s">
        <v>13</v>
      </c>
      <c r="C19" s="14" t="s">
        <v>45</v>
      </c>
      <c r="D19" s="15" t="s">
        <v>46</v>
      </c>
      <c r="E19" s="14" t="s">
        <v>47</v>
      </c>
      <c r="F19" s="16">
        <f t="shared" si="1"/>
        <v>144</v>
      </c>
      <c r="G19" s="17">
        <v>69</v>
      </c>
      <c r="H19" s="17">
        <f t="shared" si="2"/>
        <v>84.84</v>
      </c>
      <c r="I19" s="18">
        <f t="shared" si="3"/>
        <v>9936</v>
      </c>
      <c r="J19" s="106">
        <f t="shared" si="4"/>
        <v>12216.96</v>
      </c>
      <c r="L19" s="19">
        <f>12*3</f>
        <v>36</v>
      </c>
      <c r="M19" s="19">
        <v>360</v>
      </c>
    </row>
    <row r="20" spans="1:13" ht="8.25" customHeight="1">
      <c r="A20" s="107" t="s">
        <v>48</v>
      </c>
      <c r="B20" s="20"/>
      <c r="C20" s="20"/>
      <c r="D20" s="21" t="s">
        <v>49</v>
      </c>
      <c r="E20" s="20"/>
      <c r="F20" s="20"/>
      <c r="G20" s="20"/>
      <c r="H20" s="20"/>
      <c r="I20" s="22">
        <f>SUM(I21:I28)</f>
        <v>50835.839999999997</v>
      </c>
      <c r="J20" s="108">
        <f>SUM(J21:J28)</f>
        <v>62504.56</v>
      </c>
      <c r="L20" s="19"/>
      <c r="M20" s="13"/>
    </row>
    <row r="21" spans="1:13" ht="24.75">
      <c r="A21" s="105" t="s">
        <v>369</v>
      </c>
      <c r="B21" s="14" t="s">
        <v>61</v>
      </c>
      <c r="C21" s="14">
        <v>94964</v>
      </c>
      <c r="D21" s="15" t="s">
        <v>360</v>
      </c>
      <c r="E21" s="14" t="s">
        <v>22</v>
      </c>
      <c r="F21" s="16">
        <f t="shared" ref="F21:F28" si="5">L21*$M$3</f>
        <v>5.5605599999999988</v>
      </c>
      <c r="G21" s="17">
        <v>377.14</v>
      </c>
      <c r="H21" s="17">
        <f t="shared" si="2"/>
        <v>463.73</v>
      </c>
      <c r="I21" s="18">
        <f t="shared" ref="I21:I28" si="6">ROUND((F21*G21),2)</f>
        <v>2097.11</v>
      </c>
      <c r="J21" s="106">
        <f t="shared" ref="J21:J28" si="7">ROUND((F21*H21),2)</f>
        <v>2578.6</v>
      </c>
      <c r="L21" s="19">
        <f>(0.09*0.2*12*3)+(0.09*0.2*41.23)</f>
        <v>1.3901399999999997</v>
      </c>
      <c r="M21" s="19"/>
    </row>
    <row r="22" spans="1:13" ht="8.25" customHeight="1">
      <c r="A22" s="105" t="s">
        <v>50</v>
      </c>
      <c r="B22" s="14" t="s">
        <v>13</v>
      </c>
      <c r="C22" s="14" t="s">
        <v>24</v>
      </c>
      <c r="D22" s="15" t="s">
        <v>25</v>
      </c>
      <c r="E22" s="14" t="s">
        <v>26</v>
      </c>
      <c r="F22" s="16">
        <f t="shared" si="5"/>
        <v>970.64</v>
      </c>
      <c r="G22" s="17">
        <v>10.94</v>
      </c>
      <c r="H22" s="17">
        <f t="shared" si="2"/>
        <v>13.45</v>
      </c>
      <c r="I22" s="18">
        <f t="shared" si="6"/>
        <v>10618.8</v>
      </c>
      <c r="J22" s="106">
        <f t="shared" si="7"/>
        <v>13055.11</v>
      </c>
      <c r="L22" s="87">
        <f>89.28+51.13+102.25</f>
        <v>242.66</v>
      </c>
      <c r="M22" s="19">
        <v>660</v>
      </c>
    </row>
    <row r="23" spans="1:13" ht="8.25" customHeight="1">
      <c r="A23" s="105" t="s">
        <v>51</v>
      </c>
      <c r="B23" s="14" t="s">
        <v>13</v>
      </c>
      <c r="C23" s="14" t="s">
        <v>28</v>
      </c>
      <c r="D23" s="15" t="s">
        <v>29</v>
      </c>
      <c r="E23" s="14" t="s">
        <v>26</v>
      </c>
      <c r="F23" s="16">
        <f t="shared" si="5"/>
        <v>126.32</v>
      </c>
      <c r="G23" s="17">
        <v>12.17</v>
      </c>
      <c r="H23" s="17">
        <f t="shared" si="2"/>
        <v>14.96</v>
      </c>
      <c r="I23" s="18">
        <f t="shared" si="6"/>
        <v>1537.31</v>
      </c>
      <c r="J23" s="106">
        <f t="shared" si="7"/>
        <v>1889.75</v>
      </c>
      <c r="L23" s="87">
        <f>15.79+15.79</f>
        <v>31.58</v>
      </c>
      <c r="M23" s="19">
        <v>71</v>
      </c>
    </row>
    <row r="24" spans="1:13" ht="8.25" customHeight="1">
      <c r="A24" s="105" t="s">
        <v>52</v>
      </c>
      <c r="B24" s="14" t="s">
        <v>13</v>
      </c>
      <c r="C24" s="14" t="s">
        <v>53</v>
      </c>
      <c r="D24" s="15" t="s">
        <v>54</v>
      </c>
      <c r="E24" s="14" t="s">
        <v>22</v>
      </c>
      <c r="F24" s="16">
        <f t="shared" si="5"/>
        <v>5.5605599999999988</v>
      </c>
      <c r="G24" s="17">
        <v>98.28</v>
      </c>
      <c r="H24" s="17">
        <f t="shared" si="2"/>
        <v>120.85</v>
      </c>
      <c r="I24" s="18">
        <f t="shared" si="6"/>
        <v>546.49</v>
      </c>
      <c r="J24" s="106">
        <f t="shared" si="7"/>
        <v>671.99</v>
      </c>
      <c r="L24" s="19">
        <f>L21</f>
        <v>1.3901399999999997</v>
      </c>
      <c r="M24" s="19">
        <v>9.1999999999999993</v>
      </c>
    </row>
    <row r="25" spans="1:13" ht="24.75">
      <c r="A25" s="105" t="s">
        <v>370</v>
      </c>
      <c r="B25" s="14" t="s">
        <v>61</v>
      </c>
      <c r="C25" s="23">
        <v>92413</v>
      </c>
      <c r="D25" s="15" t="s">
        <v>361</v>
      </c>
      <c r="E25" s="14" t="s">
        <v>16</v>
      </c>
      <c r="F25" s="16">
        <f t="shared" si="5"/>
        <v>43.2</v>
      </c>
      <c r="G25" s="17">
        <v>137.52000000000001</v>
      </c>
      <c r="H25" s="17">
        <f t="shared" si="2"/>
        <v>169.09</v>
      </c>
      <c r="I25" s="18">
        <f t="shared" si="6"/>
        <v>5940.86</v>
      </c>
      <c r="J25" s="106">
        <f t="shared" si="7"/>
        <v>7304.69</v>
      </c>
      <c r="L25" s="19">
        <f>0.4*3*9</f>
        <v>10.8</v>
      </c>
      <c r="M25" s="24"/>
    </row>
    <row r="26" spans="1:13" ht="8.25" customHeight="1">
      <c r="A26" s="105" t="s">
        <v>55</v>
      </c>
      <c r="B26" s="14" t="s">
        <v>13</v>
      </c>
      <c r="C26" s="14" t="s">
        <v>56</v>
      </c>
      <c r="D26" s="15" t="s">
        <v>57</v>
      </c>
      <c r="E26" s="14" t="s">
        <v>16</v>
      </c>
      <c r="F26" s="16">
        <f t="shared" si="5"/>
        <v>16.492000000000001</v>
      </c>
      <c r="G26" s="17">
        <v>105.5</v>
      </c>
      <c r="H26" s="17">
        <f t="shared" si="2"/>
        <v>129.72</v>
      </c>
      <c r="I26" s="18">
        <f t="shared" si="6"/>
        <v>1739.91</v>
      </c>
      <c r="J26" s="106">
        <f t="shared" si="7"/>
        <v>2139.34</v>
      </c>
      <c r="L26" s="19">
        <f>41.23*0.1</f>
        <v>4.1230000000000002</v>
      </c>
      <c r="M26" s="19">
        <v>5.52</v>
      </c>
    </row>
    <row r="27" spans="1:13" ht="8.25" customHeight="1">
      <c r="A27" s="105" t="s">
        <v>58</v>
      </c>
      <c r="B27" s="14" t="s">
        <v>13</v>
      </c>
      <c r="C27" s="14" t="s">
        <v>59</v>
      </c>
      <c r="D27" s="15" t="s">
        <v>60</v>
      </c>
      <c r="E27" s="14" t="s">
        <v>16</v>
      </c>
      <c r="F27" s="16">
        <f t="shared" si="5"/>
        <v>32.984000000000002</v>
      </c>
      <c r="G27" s="17">
        <v>66.47</v>
      </c>
      <c r="H27" s="17">
        <f t="shared" si="2"/>
        <v>81.73</v>
      </c>
      <c r="I27" s="18">
        <f t="shared" si="6"/>
        <v>2192.4499999999998</v>
      </c>
      <c r="J27" s="106">
        <f t="shared" si="7"/>
        <v>2695.78</v>
      </c>
      <c r="L27" s="19">
        <f>41.23*0.2</f>
        <v>8.2460000000000004</v>
      </c>
      <c r="M27" s="19">
        <v>101.04</v>
      </c>
    </row>
    <row r="28" spans="1:13" ht="24.75">
      <c r="A28" s="105" t="s">
        <v>371</v>
      </c>
      <c r="B28" s="14" t="s">
        <v>61</v>
      </c>
      <c r="C28" s="14">
        <v>103322</v>
      </c>
      <c r="D28" s="15" t="s">
        <v>362</v>
      </c>
      <c r="E28" s="14" t="s">
        <v>16</v>
      </c>
      <c r="F28" s="16">
        <f t="shared" si="5"/>
        <v>494.76</v>
      </c>
      <c r="G28" s="17">
        <v>52.88</v>
      </c>
      <c r="H28" s="17">
        <f t="shared" si="2"/>
        <v>65.02</v>
      </c>
      <c r="I28" s="18">
        <f t="shared" si="6"/>
        <v>26162.91</v>
      </c>
      <c r="J28" s="106">
        <f t="shared" si="7"/>
        <v>32169.3</v>
      </c>
      <c r="L28" s="19">
        <f>41.23*3</f>
        <v>123.69</v>
      </c>
      <c r="M28" s="19"/>
    </row>
    <row r="29" spans="1:13" ht="8.25" customHeight="1">
      <c r="A29" s="107" t="s">
        <v>63</v>
      </c>
      <c r="B29" s="20"/>
      <c r="C29" s="20"/>
      <c r="D29" s="21" t="s">
        <v>64</v>
      </c>
      <c r="E29" s="20"/>
      <c r="F29" s="20"/>
      <c r="G29" s="20"/>
      <c r="H29" s="20"/>
      <c r="I29" s="22">
        <f>SUM(I30:I32)</f>
        <v>40474.9</v>
      </c>
      <c r="J29" s="108">
        <f>SUM(J30:J32)</f>
        <v>49768.36</v>
      </c>
      <c r="L29" s="20"/>
      <c r="M29" s="13"/>
    </row>
    <row r="30" spans="1:13" ht="33">
      <c r="A30" s="105" t="s">
        <v>372</v>
      </c>
      <c r="B30" s="14" t="s">
        <v>61</v>
      </c>
      <c r="C30" s="14">
        <v>92543</v>
      </c>
      <c r="D30" s="15" t="s">
        <v>65</v>
      </c>
      <c r="E30" s="14" t="s">
        <v>16</v>
      </c>
      <c r="F30" s="16">
        <f t="shared" ref="F30:F32" si="8">L30*$M$3</f>
        <v>167.48</v>
      </c>
      <c r="G30" s="17">
        <v>27.79</v>
      </c>
      <c r="H30" s="17">
        <f t="shared" si="2"/>
        <v>34.17</v>
      </c>
      <c r="I30" s="18">
        <f t="shared" ref="I30:I32" si="9">ROUND((F30*G30),2)</f>
        <v>4654.2700000000004</v>
      </c>
      <c r="J30" s="106">
        <f t="shared" ref="J30:J32" si="10">ROUND((F30*H30),2)</f>
        <v>5722.79</v>
      </c>
      <c r="L30" s="19">
        <f>41.87</f>
        <v>41.87</v>
      </c>
      <c r="M30" s="19"/>
    </row>
    <row r="31" spans="1:13" ht="33">
      <c r="A31" s="105" t="s">
        <v>373</v>
      </c>
      <c r="B31" s="14" t="s">
        <v>61</v>
      </c>
      <c r="C31" s="14">
        <v>94210</v>
      </c>
      <c r="D31" s="15" t="s">
        <v>66</v>
      </c>
      <c r="E31" s="14" t="s">
        <v>16</v>
      </c>
      <c r="F31" s="16">
        <f t="shared" si="8"/>
        <v>167.48</v>
      </c>
      <c r="G31" s="17">
        <v>47.91</v>
      </c>
      <c r="H31" s="17">
        <f t="shared" si="2"/>
        <v>58.91</v>
      </c>
      <c r="I31" s="18">
        <f t="shared" si="9"/>
        <v>8023.97</v>
      </c>
      <c r="J31" s="106">
        <f t="shared" si="10"/>
        <v>9866.25</v>
      </c>
      <c r="L31" s="19">
        <v>41.87</v>
      </c>
      <c r="M31" s="19"/>
    </row>
    <row r="32" spans="1:13" ht="16.5">
      <c r="A32" s="105" t="s">
        <v>67</v>
      </c>
      <c r="B32" s="14" t="s">
        <v>13</v>
      </c>
      <c r="C32" s="14" t="s">
        <v>68</v>
      </c>
      <c r="D32" s="15" t="s">
        <v>69</v>
      </c>
      <c r="E32" s="14" t="s">
        <v>16</v>
      </c>
      <c r="F32" s="16">
        <f t="shared" si="8"/>
        <v>167.48</v>
      </c>
      <c r="G32" s="17">
        <v>165.97</v>
      </c>
      <c r="H32" s="17">
        <f t="shared" si="2"/>
        <v>204.08</v>
      </c>
      <c r="I32" s="18">
        <f t="shared" si="9"/>
        <v>27796.66</v>
      </c>
      <c r="J32" s="106">
        <f t="shared" si="10"/>
        <v>34179.32</v>
      </c>
      <c r="L32" s="19">
        <v>41.87</v>
      </c>
      <c r="M32" s="19">
        <v>31.36</v>
      </c>
    </row>
    <row r="33" spans="1:13" ht="8.25" customHeight="1">
      <c r="A33" s="107" t="s">
        <v>70</v>
      </c>
      <c r="B33" s="20"/>
      <c r="C33" s="20"/>
      <c r="D33" s="21" t="s">
        <v>71</v>
      </c>
      <c r="E33" s="20"/>
      <c r="F33" s="20"/>
      <c r="G33" s="20"/>
      <c r="H33" s="20"/>
      <c r="I33" s="22">
        <f>SUM(I34:I38)</f>
        <v>33914.820000000007</v>
      </c>
      <c r="J33" s="108">
        <f>SUM(J34:J38)</f>
        <v>41703.020000000004</v>
      </c>
      <c r="L33" s="20"/>
      <c r="M33" s="13"/>
    </row>
    <row r="34" spans="1:13" ht="33">
      <c r="A34" s="105" t="s">
        <v>374</v>
      </c>
      <c r="B34" s="14" t="s">
        <v>61</v>
      </c>
      <c r="C34" s="14">
        <v>104411</v>
      </c>
      <c r="D34" s="15" t="s">
        <v>72</v>
      </c>
      <c r="E34" s="14" t="s">
        <v>16</v>
      </c>
      <c r="F34" s="16">
        <f t="shared" ref="F34:F38" si="11">L34*$M$3</f>
        <v>589.96</v>
      </c>
      <c r="G34" s="16">
        <v>4.68</v>
      </c>
      <c r="H34" s="17">
        <f t="shared" si="2"/>
        <v>5.75</v>
      </c>
      <c r="I34" s="18">
        <f t="shared" ref="I34:I38" si="12">ROUND((F34*G34),2)</f>
        <v>2761.01</v>
      </c>
      <c r="J34" s="106">
        <f t="shared" ref="J34:J38" si="13">ROUND((F34*H34),2)</f>
        <v>3392.27</v>
      </c>
      <c r="L34" s="19">
        <v>147.49</v>
      </c>
      <c r="M34" s="26"/>
    </row>
    <row r="35" spans="1:13" ht="33">
      <c r="A35" s="105" t="s">
        <v>375</v>
      </c>
      <c r="B35" s="14" t="s">
        <v>61</v>
      </c>
      <c r="C35" s="14">
        <v>87908</v>
      </c>
      <c r="D35" s="15" t="s">
        <v>363</v>
      </c>
      <c r="E35" s="14" t="s">
        <v>16</v>
      </c>
      <c r="F35" s="16">
        <f t="shared" si="11"/>
        <v>296.36</v>
      </c>
      <c r="G35" s="16">
        <v>5.73</v>
      </c>
      <c r="H35" s="17">
        <f t="shared" si="2"/>
        <v>7.05</v>
      </c>
      <c r="I35" s="18">
        <f t="shared" si="12"/>
        <v>1698.14</v>
      </c>
      <c r="J35" s="106">
        <f t="shared" si="13"/>
        <v>2089.34</v>
      </c>
      <c r="L35" s="19">
        <v>74.09</v>
      </c>
      <c r="M35" s="26"/>
    </row>
    <row r="36" spans="1:13" ht="41.25">
      <c r="A36" s="105" t="s">
        <v>376</v>
      </c>
      <c r="B36" s="14" t="s">
        <v>61</v>
      </c>
      <c r="C36" s="14">
        <v>87547</v>
      </c>
      <c r="D36" s="15" t="s">
        <v>73</v>
      </c>
      <c r="E36" s="14" t="s">
        <v>16</v>
      </c>
      <c r="F36" s="16">
        <f t="shared" si="11"/>
        <v>886.32</v>
      </c>
      <c r="G36" s="16">
        <v>22.11</v>
      </c>
      <c r="H36" s="17">
        <f t="shared" si="2"/>
        <v>27.19</v>
      </c>
      <c r="I36" s="18">
        <f t="shared" si="12"/>
        <v>19596.54</v>
      </c>
      <c r="J36" s="106">
        <f t="shared" si="13"/>
        <v>24099.040000000001</v>
      </c>
      <c r="L36" s="19">
        <f>147.49+74.09</f>
        <v>221.58</v>
      </c>
      <c r="M36" s="26"/>
    </row>
    <row r="37" spans="1:13" ht="41.25">
      <c r="A37" s="105" t="s">
        <v>75</v>
      </c>
      <c r="B37" s="14" t="s">
        <v>61</v>
      </c>
      <c r="C37" s="14">
        <v>87549</v>
      </c>
      <c r="D37" s="15" t="s">
        <v>74</v>
      </c>
      <c r="E37" s="14" t="s">
        <v>16</v>
      </c>
      <c r="F37" s="16">
        <f t="shared" si="11"/>
        <v>101.4</v>
      </c>
      <c r="G37" s="16">
        <v>20.69</v>
      </c>
      <c r="H37" s="17">
        <f t="shared" si="2"/>
        <v>25.44</v>
      </c>
      <c r="I37" s="18">
        <f t="shared" si="12"/>
        <v>2097.9699999999998</v>
      </c>
      <c r="J37" s="106">
        <f t="shared" si="13"/>
        <v>2579.62</v>
      </c>
      <c r="L37" s="19">
        <v>25.35</v>
      </c>
      <c r="M37" s="26"/>
    </row>
    <row r="38" spans="1:13" ht="24.75">
      <c r="A38" s="105" t="s">
        <v>377</v>
      </c>
      <c r="B38" s="14" t="s">
        <v>61</v>
      </c>
      <c r="C38" s="14">
        <v>87269</v>
      </c>
      <c r="D38" s="27" t="s">
        <v>76</v>
      </c>
      <c r="E38" s="14" t="s">
        <v>16</v>
      </c>
      <c r="F38" s="16">
        <f t="shared" si="11"/>
        <v>101.4</v>
      </c>
      <c r="G38" s="28">
        <v>76.540000000000006</v>
      </c>
      <c r="H38" s="17">
        <f t="shared" si="2"/>
        <v>94.11</v>
      </c>
      <c r="I38" s="18">
        <f t="shared" si="12"/>
        <v>7761.16</v>
      </c>
      <c r="J38" s="106">
        <f t="shared" si="13"/>
        <v>9542.75</v>
      </c>
      <c r="L38" s="19">
        <v>25.35</v>
      </c>
      <c r="M38" s="24">
        <v>45.32</v>
      </c>
    </row>
    <row r="39" spans="1:13" ht="8.25" customHeight="1">
      <c r="A39" s="107" t="s">
        <v>77</v>
      </c>
      <c r="B39" s="20"/>
      <c r="C39" s="20"/>
      <c r="D39" s="21" t="s">
        <v>78</v>
      </c>
      <c r="E39" s="20"/>
      <c r="F39" s="20"/>
      <c r="G39" s="20"/>
      <c r="H39" s="20"/>
      <c r="I39" s="22">
        <f>SUM(I40:I45)</f>
        <v>28937.64</v>
      </c>
      <c r="J39" s="108">
        <f>SUM(J40:J45)</f>
        <v>35581.71</v>
      </c>
      <c r="L39" s="19">
        <f t="shared" ref="L39" si="14">M39/4*5</f>
        <v>0</v>
      </c>
      <c r="M39" s="13"/>
    </row>
    <row r="40" spans="1:13" ht="8.25" customHeight="1">
      <c r="A40" s="105" t="s">
        <v>79</v>
      </c>
      <c r="B40" s="14" t="s">
        <v>13</v>
      </c>
      <c r="C40" s="14" t="s">
        <v>80</v>
      </c>
      <c r="D40" s="15" t="s">
        <v>81</v>
      </c>
      <c r="E40" s="14" t="s">
        <v>16</v>
      </c>
      <c r="F40" s="16">
        <f t="shared" ref="F40:F55" si="15">L40*$M$3</f>
        <v>13.200000000000001</v>
      </c>
      <c r="G40" s="16">
        <v>342.14</v>
      </c>
      <c r="H40" s="17">
        <f t="shared" si="2"/>
        <v>420.7</v>
      </c>
      <c r="I40" s="18">
        <f t="shared" ref="I40:I45" si="16">ROUND((F40*G40),2)</f>
        <v>4516.25</v>
      </c>
      <c r="J40" s="106">
        <f t="shared" ref="J40:J45" si="17">ROUND((F40*H40),2)</f>
        <v>5553.24</v>
      </c>
      <c r="L40" s="19">
        <f>1.5*1.1*2</f>
        <v>3.3000000000000003</v>
      </c>
      <c r="M40" s="19">
        <v>12</v>
      </c>
    </row>
    <row r="41" spans="1:13" ht="24.75">
      <c r="A41" s="105" t="s">
        <v>378</v>
      </c>
      <c r="B41" s="14" t="s">
        <v>61</v>
      </c>
      <c r="C41" s="14">
        <v>94569</v>
      </c>
      <c r="D41" s="15" t="s">
        <v>82</v>
      </c>
      <c r="E41" s="14" t="s">
        <v>16</v>
      </c>
      <c r="F41" s="16">
        <f t="shared" si="15"/>
        <v>1.92</v>
      </c>
      <c r="G41" s="16">
        <v>711.5</v>
      </c>
      <c r="H41" s="17">
        <f t="shared" si="2"/>
        <v>874.86</v>
      </c>
      <c r="I41" s="18">
        <f t="shared" si="16"/>
        <v>1366.08</v>
      </c>
      <c r="J41" s="106">
        <f t="shared" si="17"/>
        <v>1679.73</v>
      </c>
      <c r="L41" s="19">
        <f>0.6*0.8</f>
        <v>0.48</v>
      </c>
      <c r="M41" s="19"/>
    </row>
    <row r="42" spans="1:13" ht="8.25" customHeight="1">
      <c r="A42" s="105" t="s">
        <v>83</v>
      </c>
      <c r="B42" s="14" t="s">
        <v>13</v>
      </c>
      <c r="C42" s="14" t="s">
        <v>84</v>
      </c>
      <c r="D42" s="15" t="s">
        <v>85</v>
      </c>
      <c r="E42" s="14" t="s">
        <v>16</v>
      </c>
      <c r="F42" s="16">
        <f t="shared" si="15"/>
        <v>13.200000000000001</v>
      </c>
      <c r="G42" s="16">
        <v>437.73</v>
      </c>
      <c r="H42" s="17">
        <f t="shared" si="2"/>
        <v>538.23</v>
      </c>
      <c r="I42" s="18">
        <f t="shared" si="16"/>
        <v>5778.04</v>
      </c>
      <c r="J42" s="106">
        <f t="shared" si="17"/>
        <v>7104.64</v>
      </c>
      <c r="L42" s="19">
        <f>1.5*1.1*2</f>
        <v>3.3000000000000003</v>
      </c>
      <c r="M42" s="19">
        <v>18</v>
      </c>
    </row>
    <row r="43" spans="1:13" ht="8.25" customHeight="1">
      <c r="A43" s="105" t="s">
        <v>86</v>
      </c>
      <c r="B43" s="14" t="s">
        <v>13</v>
      </c>
      <c r="C43" s="14" t="s">
        <v>87</v>
      </c>
      <c r="D43" s="15" t="s">
        <v>88</v>
      </c>
      <c r="E43" s="14" t="s">
        <v>16</v>
      </c>
      <c r="F43" s="16">
        <f t="shared" si="15"/>
        <v>13.440000000000001</v>
      </c>
      <c r="G43" s="16">
        <v>497.22</v>
      </c>
      <c r="H43" s="17">
        <f t="shared" si="2"/>
        <v>611.38</v>
      </c>
      <c r="I43" s="18">
        <f t="shared" si="16"/>
        <v>6682.64</v>
      </c>
      <c r="J43" s="106">
        <f t="shared" si="17"/>
        <v>8216.9500000000007</v>
      </c>
      <c r="L43" s="19">
        <f>0.8*2.1*2</f>
        <v>3.3600000000000003</v>
      </c>
      <c r="M43" s="19">
        <v>26.04</v>
      </c>
    </row>
    <row r="44" spans="1:13" ht="8.25" customHeight="1">
      <c r="A44" s="105" t="s">
        <v>89</v>
      </c>
      <c r="B44" s="14" t="s">
        <v>13</v>
      </c>
      <c r="C44" s="14" t="s">
        <v>90</v>
      </c>
      <c r="D44" s="15" t="s">
        <v>91</v>
      </c>
      <c r="E44" s="14" t="s">
        <v>92</v>
      </c>
      <c r="F44" s="16">
        <f t="shared" si="15"/>
        <v>12</v>
      </c>
      <c r="G44" s="16">
        <v>611.29</v>
      </c>
      <c r="H44" s="17">
        <f t="shared" si="2"/>
        <v>751.64</v>
      </c>
      <c r="I44" s="18">
        <f t="shared" si="16"/>
        <v>7335.48</v>
      </c>
      <c r="J44" s="106">
        <f t="shared" si="17"/>
        <v>9019.68</v>
      </c>
      <c r="L44" s="19">
        <v>3</v>
      </c>
      <c r="M44" s="19">
        <v>12</v>
      </c>
    </row>
    <row r="45" spans="1:13" ht="8.25" customHeight="1">
      <c r="A45" s="105" t="s">
        <v>93</v>
      </c>
      <c r="B45" s="14" t="s">
        <v>13</v>
      </c>
      <c r="C45" s="14" t="s">
        <v>94</v>
      </c>
      <c r="D45" s="15" t="s">
        <v>95</v>
      </c>
      <c r="E45" s="14" t="s">
        <v>16</v>
      </c>
      <c r="F45" s="16">
        <f t="shared" si="15"/>
        <v>4.8</v>
      </c>
      <c r="G45" s="16">
        <v>678.99</v>
      </c>
      <c r="H45" s="17">
        <f t="shared" si="2"/>
        <v>834.89</v>
      </c>
      <c r="I45" s="18">
        <f t="shared" si="16"/>
        <v>3259.15</v>
      </c>
      <c r="J45" s="106">
        <f t="shared" si="17"/>
        <v>4007.47</v>
      </c>
      <c r="L45" s="19">
        <f>1*1.2</f>
        <v>1.2</v>
      </c>
      <c r="M45" s="19">
        <v>1.44</v>
      </c>
    </row>
    <row r="46" spans="1:13" ht="8.25" customHeight="1">
      <c r="A46" s="107" t="s">
        <v>96</v>
      </c>
      <c r="B46" s="20"/>
      <c r="C46" s="20"/>
      <c r="D46" s="21" t="s">
        <v>97</v>
      </c>
      <c r="E46" s="20"/>
      <c r="F46" s="20"/>
      <c r="G46" s="20"/>
      <c r="H46" s="20"/>
      <c r="I46" s="22">
        <f>SUM(I47:I55)</f>
        <v>20545.279999999995</v>
      </c>
      <c r="J46" s="108">
        <f>SUM(J47:J55)</f>
        <v>25261.929999999997</v>
      </c>
      <c r="L46" s="19"/>
      <c r="M46" s="13"/>
    </row>
    <row r="47" spans="1:13" ht="8.25" customHeight="1">
      <c r="A47" s="105" t="s">
        <v>98</v>
      </c>
      <c r="B47" s="14" t="s">
        <v>13</v>
      </c>
      <c r="C47" s="14" t="s">
        <v>99</v>
      </c>
      <c r="D47" s="15" t="s">
        <v>100</v>
      </c>
      <c r="E47" s="14" t="s">
        <v>22</v>
      </c>
      <c r="F47" s="16">
        <f t="shared" si="15"/>
        <v>61.184000000000005</v>
      </c>
      <c r="G47" s="16">
        <v>52.11</v>
      </c>
      <c r="H47" s="17">
        <f t="shared" si="2"/>
        <v>64.069999999999993</v>
      </c>
      <c r="I47" s="18">
        <f t="shared" ref="I47:I55" si="18">ROUND((F47*G47),2)</f>
        <v>3188.3</v>
      </c>
      <c r="J47" s="106">
        <f t="shared" ref="J47:J55" si="19">ROUND((F47*H47),2)</f>
        <v>3920.06</v>
      </c>
      <c r="L47" s="19">
        <f>(6.78+10.18+9.04+9.04+1.1+2.1)*0.4</f>
        <v>15.296000000000001</v>
      </c>
      <c r="M47" s="19">
        <v>24.48</v>
      </c>
    </row>
    <row r="48" spans="1:13" ht="24.75">
      <c r="A48" s="105" t="s">
        <v>379</v>
      </c>
      <c r="B48" s="14" t="s">
        <v>61</v>
      </c>
      <c r="C48" s="14">
        <v>94963</v>
      </c>
      <c r="D48" s="15" t="s">
        <v>101</v>
      </c>
      <c r="E48" s="14" t="s">
        <v>22</v>
      </c>
      <c r="F48" s="16">
        <f t="shared" si="15"/>
        <v>10.707200000000002</v>
      </c>
      <c r="G48" s="16">
        <v>341.79</v>
      </c>
      <c r="H48" s="17">
        <f t="shared" si="2"/>
        <v>420.26</v>
      </c>
      <c r="I48" s="18">
        <f t="shared" si="18"/>
        <v>3659.61</v>
      </c>
      <c r="J48" s="106">
        <f t="shared" si="19"/>
        <v>4499.8100000000004</v>
      </c>
      <c r="L48" s="19">
        <f>(6.78+10.18+9.04+9.04+1.1+2.1)*0.07</f>
        <v>2.6768000000000005</v>
      </c>
      <c r="M48" s="19"/>
    </row>
    <row r="49" spans="1:13" ht="16.5" customHeight="1">
      <c r="A49" s="105" t="s">
        <v>102</v>
      </c>
      <c r="B49" s="14" t="s">
        <v>13</v>
      </c>
      <c r="C49" s="14" t="s">
        <v>31</v>
      </c>
      <c r="D49" s="15" t="s">
        <v>32</v>
      </c>
      <c r="E49" s="14" t="s">
        <v>22</v>
      </c>
      <c r="F49" s="16">
        <f t="shared" si="15"/>
        <v>10.707200000000002</v>
      </c>
      <c r="G49" s="16">
        <v>71.14</v>
      </c>
      <c r="H49" s="17">
        <f t="shared" si="2"/>
        <v>87.47</v>
      </c>
      <c r="I49" s="18">
        <f t="shared" si="18"/>
        <v>761.71</v>
      </c>
      <c r="J49" s="106">
        <f t="shared" si="19"/>
        <v>936.56</v>
      </c>
      <c r="L49" s="19">
        <f>L48</f>
        <v>2.6768000000000005</v>
      </c>
      <c r="M49" s="19">
        <v>12.24</v>
      </c>
    </row>
    <row r="50" spans="1:13" ht="8.25" customHeight="1">
      <c r="A50" s="105" t="s">
        <v>103</v>
      </c>
      <c r="B50" s="14" t="s">
        <v>13</v>
      </c>
      <c r="C50" s="14" t="s">
        <v>40</v>
      </c>
      <c r="D50" s="15" t="s">
        <v>41</v>
      </c>
      <c r="E50" s="14" t="s">
        <v>22</v>
      </c>
      <c r="F50" s="16">
        <f t="shared" si="15"/>
        <v>3.0592000000000001</v>
      </c>
      <c r="G50" s="16">
        <v>717.9</v>
      </c>
      <c r="H50" s="17">
        <f t="shared" si="2"/>
        <v>882.73</v>
      </c>
      <c r="I50" s="18">
        <f t="shared" si="18"/>
        <v>2196.1999999999998</v>
      </c>
      <c r="J50" s="106">
        <f t="shared" si="19"/>
        <v>2700.45</v>
      </c>
      <c r="L50" s="19">
        <f>(6.78+10.18+9.04+9.04+1.1+2.1)*0.02</f>
        <v>0.76480000000000004</v>
      </c>
      <c r="M50" s="19">
        <v>4.88</v>
      </c>
    </row>
    <row r="51" spans="1:13" ht="13.5" customHeight="1">
      <c r="A51" s="105" t="s">
        <v>380</v>
      </c>
      <c r="B51" s="14" t="s">
        <v>61</v>
      </c>
      <c r="C51" s="14">
        <v>98689</v>
      </c>
      <c r="D51" s="15" t="s">
        <v>104</v>
      </c>
      <c r="E51" s="14" t="s">
        <v>47</v>
      </c>
      <c r="F51" s="16">
        <f t="shared" si="15"/>
        <v>9.6000000000000014</v>
      </c>
      <c r="G51" s="16">
        <v>127.05</v>
      </c>
      <c r="H51" s="17">
        <f t="shared" si="2"/>
        <v>156.22</v>
      </c>
      <c r="I51" s="18">
        <f t="shared" si="18"/>
        <v>1219.68</v>
      </c>
      <c r="J51" s="106">
        <f t="shared" si="19"/>
        <v>1499.71</v>
      </c>
      <c r="L51" s="19">
        <f>0.8*3</f>
        <v>2.4000000000000004</v>
      </c>
      <c r="M51" s="19"/>
    </row>
    <row r="52" spans="1:13" ht="24.75">
      <c r="A52" s="105" t="s">
        <v>105</v>
      </c>
      <c r="B52" s="14" t="s">
        <v>13</v>
      </c>
      <c r="C52" s="14" t="s">
        <v>106</v>
      </c>
      <c r="D52" s="15" t="s">
        <v>107</v>
      </c>
      <c r="E52" s="14" t="s">
        <v>16</v>
      </c>
      <c r="F52" s="16">
        <f t="shared" si="15"/>
        <v>152.96</v>
      </c>
      <c r="G52" s="16">
        <v>43.14</v>
      </c>
      <c r="H52" s="17">
        <f t="shared" si="2"/>
        <v>53.04</v>
      </c>
      <c r="I52" s="18">
        <f t="shared" si="18"/>
        <v>6598.69</v>
      </c>
      <c r="J52" s="106">
        <f t="shared" si="19"/>
        <v>8113</v>
      </c>
      <c r="L52" s="19">
        <f>(6.78+10.18+9.04+9.04+1.1+2.1)</f>
        <v>38.24</v>
      </c>
      <c r="M52" s="19">
        <v>244.92</v>
      </c>
    </row>
    <row r="53" spans="1:13" ht="16.5">
      <c r="A53" s="105" t="s">
        <v>108</v>
      </c>
      <c r="B53" s="14" t="s">
        <v>13</v>
      </c>
      <c r="C53" s="14" t="s">
        <v>109</v>
      </c>
      <c r="D53" s="15" t="s">
        <v>110</v>
      </c>
      <c r="E53" s="14" t="s">
        <v>16</v>
      </c>
      <c r="F53" s="16">
        <f t="shared" si="15"/>
        <v>152.96</v>
      </c>
      <c r="G53" s="16">
        <v>11.09</v>
      </c>
      <c r="H53" s="17">
        <f t="shared" si="2"/>
        <v>13.64</v>
      </c>
      <c r="I53" s="18">
        <f t="shared" si="18"/>
        <v>1696.33</v>
      </c>
      <c r="J53" s="106">
        <f t="shared" si="19"/>
        <v>2086.37</v>
      </c>
      <c r="L53" s="19">
        <f>L52</f>
        <v>38.24</v>
      </c>
      <c r="M53" s="19">
        <v>244.92</v>
      </c>
    </row>
    <row r="54" spans="1:13" ht="24.75">
      <c r="A54" s="105" t="s">
        <v>111</v>
      </c>
      <c r="B54" s="14" t="s">
        <v>13</v>
      </c>
      <c r="C54" s="14" t="s">
        <v>112</v>
      </c>
      <c r="D54" s="15" t="s">
        <v>113</v>
      </c>
      <c r="E54" s="14" t="s">
        <v>47</v>
      </c>
      <c r="F54" s="16">
        <f t="shared" si="15"/>
        <v>169.39999999999998</v>
      </c>
      <c r="G54" s="16">
        <v>6.01</v>
      </c>
      <c r="H54" s="17">
        <f t="shared" si="2"/>
        <v>7.39</v>
      </c>
      <c r="I54" s="18">
        <f t="shared" si="18"/>
        <v>1018.09</v>
      </c>
      <c r="J54" s="106">
        <f t="shared" si="19"/>
        <v>1251.8699999999999</v>
      </c>
      <c r="L54" s="19">
        <f>(2.86+3.56-0.8+3.56-0.8+2.86+3.56+2.86+2.86+3.16+2.86+3.16-0.8+3.16-0.8+2.16+3.16+1.19+1.1+1.91+2.37-0.8)</f>
        <v>42.349999999999994</v>
      </c>
      <c r="M54" s="19">
        <v>244.68</v>
      </c>
    </row>
    <row r="55" spans="1:13" ht="24.75">
      <c r="A55" s="105" t="s">
        <v>114</v>
      </c>
      <c r="B55" s="14" t="s">
        <v>13</v>
      </c>
      <c r="C55" s="14" t="s">
        <v>115</v>
      </c>
      <c r="D55" s="15" t="s">
        <v>116</v>
      </c>
      <c r="E55" s="14" t="s">
        <v>47</v>
      </c>
      <c r="F55" s="16">
        <f t="shared" si="15"/>
        <v>169.39999999999998</v>
      </c>
      <c r="G55" s="16">
        <v>1.22</v>
      </c>
      <c r="H55" s="17">
        <f t="shared" si="2"/>
        <v>1.5</v>
      </c>
      <c r="I55" s="18">
        <f t="shared" si="18"/>
        <v>206.67</v>
      </c>
      <c r="J55" s="106">
        <f t="shared" si="19"/>
        <v>254.1</v>
      </c>
      <c r="L55" s="19">
        <f>L54</f>
        <v>42.349999999999994</v>
      </c>
      <c r="M55" s="19">
        <v>244.68</v>
      </c>
    </row>
    <row r="56" spans="1:13" ht="8.25" customHeight="1">
      <c r="A56" s="107" t="s">
        <v>117</v>
      </c>
      <c r="B56" s="20"/>
      <c r="C56" s="20"/>
      <c r="D56" s="21" t="s">
        <v>118</v>
      </c>
      <c r="E56" s="20"/>
      <c r="F56" s="20"/>
      <c r="G56" s="20"/>
      <c r="H56" s="20"/>
      <c r="I56" s="22">
        <f>SUM(I57,I69,I79)</f>
        <v>35411.799999999996</v>
      </c>
      <c r="J56" s="108">
        <f>SUM(J57,J69,J79)</f>
        <v>43541.840000000004</v>
      </c>
      <c r="L56" s="19"/>
      <c r="M56" s="13"/>
    </row>
    <row r="57" spans="1:13" ht="8.25" customHeight="1">
      <c r="A57" s="109" t="s">
        <v>119</v>
      </c>
      <c r="B57" s="29"/>
      <c r="C57" s="29"/>
      <c r="D57" s="30" t="s">
        <v>120</v>
      </c>
      <c r="E57" s="29"/>
      <c r="F57" s="29"/>
      <c r="G57" s="29"/>
      <c r="H57" s="29"/>
      <c r="I57" s="31">
        <f>SUM(I58:I68)</f>
        <v>12248.44</v>
      </c>
      <c r="J57" s="110">
        <f>SUM(J58:J68)</f>
        <v>15060.12</v>
      </c>
      <c r="L57" s="19">
        <f t="shared" ref="L57" si="20">M57/4*5</f>
        <v>0</v>
      </c>
      <c r="M57" s="32"/>
    </row>
    <row r="58" spans="1:13" ht="24.75">
      <c r="A58" s="105" t="s">
        <v>381</v>
      </c>
      <c r="B58" s="14" t="s">
        <v>61</v>
      </c>
      <c r="C58" s="14">
        <v>95635</v>
      </c>
      <c r="D58" s="15" t="s">
        <v>121</v>
      </c>
      <c r="E58" s="14" t="s">
        <v>92</v>
      </c>
      <c r="F58" s="16">
        <f t="shared" ref="F58:F68" si="21">L58*$M$3</f>
        <v>4</v>
      </c>
      <c r="G58" s="25">
        <v>247.53</v>
      </c>
      <c r="H58" s="17">
        <f t="shared" ref="H58:H68" si="22">ROUND((G58*$H$5+G58),2)</f>
        <v>304.36</v>
      </c>
      <c r="I58" s="18">
        <f t="shared" ref="I58:I68" si="23">ROUND((F58*G58),2)</f>
        <v>990.12</v>
      </c>
      <c r="J58" s="106">
        <f t="shared" ref="J58:J68" si="24">ROUND((F58*H58),2)</f>
        <v>1217.44</v>
      </c>
      <c r="L58" s="19">
        <v>1</v>
      </c>
      <c r="M58" s="19"/>
    </row>
    <row r="59" spans="1:13" ht="16.5">
      <c r="A59" s="105" t="s">
        <v>123</v>
      </c>
      <c r="B59" s="14" t="s">
        <v>61</v>
      </c>
      <c r="C59" s="14">
        <v>95675</v>
      </c>
      <c r="D59" s="15" t="s">
        <v>122</v>
      </c>
      <c r="E59" s="14" t="s">
        <v>92</v>
      </c>
      <c r="F59" s="16">
        <f t="shared" si="21"/>
        <v>4</v>
      </c>
      <c r="G59" s="25">
        <v>151.94</v>
      </c>
      <c r="H59" s="17">
        <f t="shared" si="22"/>
        <v>186.83</v>
      </c>
      <c r="I59" s="18">
        <f t="shared" si="23"/>
        <v>607.76</v>
      </c>
      <c r="J59" s="106">
        <f t="shared" si="24"/>
        <v>747.32</v>
      </c>
      <c r="L59" s="19">
        <v>1</v>
      </c>
      <c r="M59" s="19"/>
    </row>
    <row r="60" spans="1:13" ht="8.25" customHeight="1">
      <c r="A60" s="105" t="s">
        <v>126</v>
      </c>
      <c r="B60" s="14" t="s">
        <v>13</v>
      </c>
      <c r="C60" s="14" t="s">
        <v>124</v>
      </c>
      <c r="D60" s="15" t="s">
        <v>125</v>
      </c>
      <c r="E60" s="14" t="s">
        <v>47</v>
      </c>
      <c r="F60" s="16">
        <f t="shared" si="21"/>
        <v>108</v>
      </c>
      <c r="G60" s="16">
        <v>27.85</v>
      </c>
      <c r="H60" s="17">
        <f t="shared" si="22"/>
        <v>34.24</v>
      </c>
      <c r="I60" s="18">
        <f t="shared" si="23"/>
        <v>3007.8</v>
      </c>
      <c r="J60" s="106">
        <f t="shared" si="24"/>
        <v>3697.92</v>
      </c>
      <c r="L60" s="19">
        <v>27</v>
      </c>
      <c r="M60" s="19">
        <v>176.8</v>
      </c>
    </row>
    <row r="61" spans="1:13" ht="8.25" customHeight="1">
      <c r="A61" s="105" t="s">
        <v>129</v>
      </c>
      <c r="B61" s="14" t="s">
        <v>13</v>
      </c>
      <c r="C61" s="14" t="s">
        <v>127</v>
      </c>
      <c r="D61" s="15" t="s">
        <v>128</v>
      </c>
      <c r="E61" s="14" t="s">
        <v>47</v>
      </c>
      <c r="F61" s="16">
        <f t="shared" si="21"/>
        <v>0</v>
      </c>
      <c r="G61" s="16">
        <v>36.92</v>
      </c>
      <c r="H61" s="17">
        <f t="shared" si="22"/>
        <v>45.4</v>
      </c>
      <c r="I61" s="18">
        <f t="shared" si="23"/>
        <v>0</v>
      </c>
      <c r="J61" s="106">
        <f t="shared" si="24"/>
        <v>0</v>
      </c>
      <c r="L61" s="19">
        <v>0</v>
      </c>
      <c r="M61" s="19">
        <v>24</v>
      </c>
    </row>
    <row r="62" spans="1:13" ht="8.25" customHeight="1">
      <c r="A62" s="105" t="s">
        <v>132</v>
      </c>
      <c r="B62" s="14" t="s">
        <v>13</v>
      </c>
      <c r="C62" s="14" t="s">
        <v>130</v>
      </c>
      <c r="D62" s="15" t="s">
        <v>131</v>
      </c>
      <c r="E62" s="14" t="s">
        <v>47</v>
      </c>
      <c r="F62" s="16">
        <f t="shared" si="21"/>
        <v>24</v>
      </c>
      <c r="G62" s="16">
        <v>48.79</v>
      </c>
      <c r="H62" s="17">
        <f t="shared" si="22"/>
        <v>59.99</v>
      </c>
      <c r="I62" s="18">
        <f t="shared" si="23"/>
        <v>1170.96</v>
      </c>
      <c r="J62" s="106">
        <f t="shared" si="24"/>
        <v>1439.76</v>
      </c>
      <c r="L62" s="19">
        <v>6</v>
      </c>
      <c r="M62" s="19">
        <v>24</v>
      </c>
    </row>
    <row r="63" spans="1:13" ht="16.5">
      <c r="A63" s="105" t="s">
        <v>135</v>
      </c>
      <c r="B63" s="14" t="s">
        <v>13</v>
      </c>
      <c r="C63" s="14" t="s">
        <v>133</v>
      </c>
      <c r="D63" s="15" t="s">
        <v>134</v>
      </c>
      <c r="E63" s="14" t="s">
        <v>92</v>
      </c>
      <c r="F63" s="16">
        <f t="shared" si="21"/>
        <v>4</v>
      </c>
      <c r="G63" s="16">
        <v>177.24</v>
      </c>
      <c r="H63" s="17">
        <f t="shared" si="22"/>
        <v>217.93</v>
      </c>
      <c r="I63" s="18">
        <f t="shared" si="23"/>
        <v>708.96</v>
      </c>
      <c r="J63" s="106">
        <f t="shared" si="24"/>
        <v>871.72</v>
      </c>
      <c r="L63" s="19">
        <v>1</v>
      </c>
      <c r="M63" s="19">
        <v>4</v>
      </c>
    </row>
    <row r="64" spans="1:13" ht="16.5">
      <c r="A64" s="105" t="s">
        <v>138</v>
      </c>
      <c r="B64" s="14" t="s">
        <v>13</v>
      </c>
      <c r="C64" s="14" t="s">
        <v>136</v>
      </c>
      <c r="D64" s="15" t="s">
        <v>137</v>
      </c>
      <c r="E64" s="14" t="s">
        <v>92</v>
      </c>
      <c r="F64" s="16">
        <f t="shared" si="21"/>
        <v>4</v>
      </c>
      <c r="G64" s="16">
        <v>141.47999999999999</v>
      </c>
      <c r="H64" s="17">
        <f t="shared" si="22"/>
        <v>173.96</v>
      </c>
      <c r="I64" s="18">
        <f t="shared" si="23"/>
        <v>565.91999999999996</v>
      </c>
      <c r="J64" s="106">
        <f t="shared" si="24"/>
        <v>695.84</v>
      </c>
      <c r="L64" s="19">
        <v>1</v>
      </c>
      <c r="M64" s="19">
        <v>4</v>
      </c>
    </row>
    <row r="65" spans="1:13" ht="16.5">
      <c r="A65" s="105" t="s">
        <v>141</v>
      </c>
      <c r="B65" s="14" t="s">
        <v>13</v>
      </c>
      <c r="C65" s="14" t="s">
        <v>139</v>
      </c>
      <c r="D65" s="15" t="s">
        <v>140</v>
      </c>
      <c r="E65" s="14" t="s">
        <v>92</v>
      </c>
      <c r="F65" s="16">
        <f t="shared" si="21"/>
        <v>8</v>
      </c>
      <c r="G65" s="16">
        <v>108.73</v>
      </c>
      <c r="H65" s="17">
        <f t="shared" si="22"/>
        <v>133.69</v>
      </c>
      <c r="I65" s="18">
        <f t="shared" si="23"/>
        <v>869.84</v>
      </c>
      <c r="J65" s="106">
        <f t="shared" si="24"/>
        <v>1069.52</v>
      </c>
      <c r="L65" s="19">
        <v>2</v>
      </c>
      <c r="M65" s="19">
        <v>12</v>
      </c>
    </row>
    <row r="66" spans="1:13" ht="16.5">
      <c r="A66" s="105" t="s">
        <v>144</v>
      </c>
      <c r="B66" s="14" t="s">
        <v>13</v>
      </c>
      <c r="C66" s="14" t="s">
        <v>142</v>
      </c>
      <c r="D66" s="15" t="s">
        <v>143</v>
      </c>
      <c r="E66" s="14" t="s">
        <v>92</v>
      </c>
      <c r="F66" s="16">
        <f t="shared" si="21"/>
        <v>4</v>
      </c>
      <c r="G66" s="16">
        <v>101.44</v>
      </c>
      <c r="H66" s="17">
        <f t="shared" si="22"/>
        <v>124.73</v>
      </c>
      <c r="I66" s="18">
        <f t="shared" si="23"/>
        <v>405.76</v>
      </c>
      <c r="J66" s="106">
        <f t="shared" si="24"/>
        <v>498.92</v>
      </c>
      <c r="L66" s="19">
        <v>1</v>
      </c>
      <c r="M66" s="19">
        <v>4</v>
      </c>
    </row>
    <row r="67" spans="1:13" ht="8.25" customHeight="1">
      <c r="A67" s="105" t="s">
        <v>147</v>
      </c>
      <c r="B67" s="14" t="s">
        <v>13</v>
      </c>
      <c r="C67" s="14" t="s">
        <v>145</v>
      </c>
      <c r="D67" s="15" t="s">
        <v>146</v>
      </c>
      <c r="E67" s="14" t="s">
        <v>92</v>
      </c>
      <c r="F67" s="16">
        <f t="shared" si="21"/>
        <v>4</v>
      </c>
      <c r="G67" s="16">
        <v>325.98</v>
      </c>
      <c r="H67" s="17">
        <f t="shared" si="22"/>
        <v>400.83</v>
      </c>
      <c r="I67" s="18">
        <f t="shared" si="23"/>
        <v>1303.92</v>
      </c>
      <c r="J67" s="106">
        <f t="shared" si="24"/>
        <v>1603.32</v>
      </c>
      <c r="L67" s="19">
        <v>1</v>
      </c>
      <c r="M67" s="19">
        <v>4</v>
      </c>
    </row>
    <row r="68" spans="1:13" ht="8.25" customHeight="1">
      <c r="A68" s="105" t="s">
        <v>382</v>
      </c>
      <c r="B68" s="14" t="s">
        <v>13</v>
      </c>
      <c r="C68" s="14" t="s">
        <v>148</v>
      </c>
      <c r="D68" s="15" t="s">
        <v>149</v>
      </c>
      <c r="E68" s="14" t="s">
        <v>92</v>
      </c>
      <c r="F68" s="16">
        <f t="shared" si="21"/>
        <v>4</v>
      </c>
      <c r="G68" s="16">
        <v>654.35</v>
      </c>
      <c r="H68" s="17">
        <f t="shared" si="22"/>
        <v>804.59</v>
      </c>
      <c r="I68" s="18">
        <f t="shared" si="23"/>
        <v>2617.4</v>
      </c>
      <c r="J68" s="106">
        <f t="shared" si="24"/>
        <v>3218.36</v>
      </c>
      <c r="L68" s="19">
        <v>1</v>
      </c>
      <c r="M68" s="19">
        <v>4</v>
      </c>
    </row>
    <row r="69" spans="1:13" ht="8.25" customHeight="1">
      <c r="A69" s="109" t="s">
        <v>150</v>
      </c>
      <c r="B69" s="29"/>
      <c r="C69" s="29"/>
      <c r="D69" s="30" t="s">
        <v>151</v>
      </c>
      <c r="E69" s="29"/>
      <c r="F69" s="29"/>
      <c r="G69" s="29"/>
      <c r="H69" s="29"/>
      <c r="I69" s="31">
        <f>SUM(I70:I78)</f>
        <v>14711.359999999997</v>
      </c>
      <c r="J69" s="110">
        <f>SUM(J70:J78)</f>
        <v>18089.240000000002</v>
      </c>
      <c r="L69" s="19">
        <f t="shared" ref="L69:L94" si="25">M69/4*5</f>
        <v>0</v>
      </c>
      <c r="M69" s="32"/>
    </row>
    <row r="70" spans="1:13" ht="24.75">
      <c r="A70" s="105" t="s">
        <v>152</v>
      </c>
      <c r="B70" s="14" t="s">
        <v>13</v>
      </c>
      <c r="C70" s="14" t="s">
        <v>153</v>
      </c>
      <c r="D70" s="15" t="s">
        <v>154</v>
      </c>
      <c r="E70" s="14" t="s">
        <v>47</v>
      </c>
      <c r="F70" s="16">
        <f t="shared" ref="F70:F78" si="26">L70*$M$3</f>
        <v>48</v>
      </c>
      <c r="G70" s="16">
        <v>33.11</v>
      </c>
      <c r="H70" s="17">
        <f t="shared" ref="H70:H78" si="27">ROUND((G70*$H$5+G70),2)</f>
        <v>40.71</v>
      </c>
      <c r="I70" s="18">
        <f t="shared" ref="I70:I78" si="28">ROUND((F70*G70),2)</f>
        <v>1589.28</v>
      </c>
      <c r="J70" s="106">
        <f t="shared" ref="J70:J78" si="29">ROUND((F70*H70),2)</f>
        <v>1954.08</v>
      </c>
      <c r="L70" s="19">
        <v>12</v>
      </c>
      <c r="M70" s="19">
        <v>25.4</v>
      </c>
    </row>
    <row r="71" spans="1:13" ht="24.75">
      <c r="A71" s="105" t="s">
        <v>155</v>
      </c>
      <c r="B71" s="14" t="s">
        <v>13</v>
      </c>
      <c r="C71" s="14" t="s">
        <v>156</v>
      </c>
      <c r="D71" s="15" t="s">
        <v>157</v>
      </c>
      <c r="E71" s="14" t="s">
        <v>47</v>
      </c>
      <c r="F71" s="16">
        <f t="shared" si="26"/>
        <v>8</v>
      </c>
      <c r="G71" s="16">
        <v>41.68</v>
      </c>
      <c r="H71" s="17">
        <f t="shared" si="27"/>
        <v>51.25</v>
      </c>
      <c r="I71" s="18">
        <f t="shared" si="28"/>
        <v>333.44</v>
      </c>
      <c r="J71" s="106">
        <f t="shared" si="29"/>
        <v>410</v>
      </c>
      <c r="L71" s="19">
        <v>2</v>
      </c>
      <c r="M71" s="19">
        <v>12</v>
      </c>
    </row>
    <row r="72" spans="1:13" ht="24.75">
      <c r="A72" s="105" t="s">
        <v>158</v>
      </c>
      <c r="B72" s="14" t="s">
        <v>13</v>
      </c>
      <c r="C72" s="14" t="s">
        <v>159</v>
      </c>
      <c r="D72" s="15" t="s">
        <v>160</v>
      </c>
      <c r="E72" s="14" t="s">
        <v>47</v>
      </c>
      <c r="F72" s="16">
        <f t="shared" si="26"/>
        <v>0</v>
      </c>
      <c r="G72" s="16">
        <v>65.53</v>
      </c>
      <c r="H72" s="17">
        <f t="shared" si="27"/>
        <v>80.58</v>
      </c>
      <c r="I72" s="18">
        <f t="shared" si="28"/>
        <v>0</v>
      </c>
      <c r="J72" s="106">
        <f t="shared" si="29"/>
        <v>0</v>
      </c>
      <c r="L72" s="19">
        <v>0</v>
      </c>
      <c r="M72" s="19">
        <v>3</v>
      </c>
    </row>
    <row r="73" spans="1:13" ht="24.75">
      <c r="A73" s="105" t="s">
        <v>161</v>
      </c>
      <c r="B73" s="14" t="s">
        <v>13</v>
      </c>
      <c r="C73" s="14" t="s">
        <v>162</v>
      </c>
      <c r="D73" s="15" t="s">
        <v>163</v>
      </c>
      <c r="E73" s="14" t="s">
        <v>47</v>
      </c>
      <c r="F73" s="16">
        <f t="shared" si="26"/>
        <v>120</v>
      </c>
      <c r="G73" s="16">
        <v>70.81</v>
      </c>
      <c r="H73" s="17">
        <f t="shared" si="27"/>
        <v>87.07</v>
      </c>
      <c r="I73" s="18">
        <f t="shared" si="28"/>
        <v>8497.2000000000007</v>
      </c>
      <c r="J73" s="106">
        <f t="shared" si="29"/>
        <v>10448.4</v>
      </c>
      <c r="L73" s="19">
        <v>30</v>
      </c>
      <c r="M73" s="19">
        <v>87.4</v>
      </c>
    </row>
    <row r="74" spans="1:13" ht="8.25" customHeight="1">
      <c r="A74" s="105" t="s">
        <v>164</v>
      </c>
      <c r="B74" s="14" t="s">
        <v>13</v>
      </c>
      <c r="C74" s="14" t="s">
        <v>165</v>
      </c>
      <c r="D74" s="15" t="s">
        <v>166</v>
      </c>
      <c r="E74" s="14" t="s">
        <v>92</v>
      </c>
      <c r="F74" s="16">
        <f t="shared" si="26"/>
        <v>4</v>
      </c>
      <c r="G74" s="16">
        <v>287.76</v>
      </c>
      <c r="H74" s="17">
        <f t="shared" si="27"/>
        <v>353.83</v>
      </c>
      <c r="I74" s="18">
        <f t="shared" si="28"/>
        <v>1151.04</v>
      </c>
      <c r="J74" s="106">
        <f t="shared" si="29"/>
        <v>1415.32</v>
      </c>
      <c r="L74" s="19">
        <v>1</v>
      </c>
      <c r="M74" s="19">
        <v>4</v>
      </c>
    </row>
    <row r="75" spans="1:13" ht="24.75" customHeight="1">
      <c r="A75" s="105" t="s">
        <v>167</v>
      </c>
      <c r="B75" s="14" t="s">
        <v>61</v>
      </c>
      <c r="C75" s="23">
        <v>97906</v>
      </c>
      <c r="D75" s="15" t="s">
        <v>168</v>
      </c>
      <c r="E75" s="14" t="s">
        <v>169</v>
      </c>
      <c r="F75" s="16">
        <f t="shared" si="26"/>
        <v>4</v>
      </c>
      <c r="G75" s="28">
        <v>423.99</v>
      </c>
      <c r="H75" s="17">
        <f t="shared" si="27"/>
        <v>521.34</v>
      </c>
      <c r="I75" s="18">
        <f t="shared" si="28"/>
        <v>1695.96</v>
      </c>
      <c r="J75" s="106">
        <f t="shared" si="29"/>
        <v>2085.36</v>
      </c>
      <c r="L75" s="19">
        <v>1</v>
      </c>
      <c r="M75" s="24">
        <v>16</v>
      </c>
    </row>
    <row r="76" spans="1:13" ht="8.25" customHeight="1">
      <c r="A76" s="105" t="s">
        <v>170</v>
      </c>
      <c r="B76" s="14" t="s">
        <v>13</v>
      </c>
      <c r="C76" s="14" t="s">
        <v>171</v>
      </c>
      <c r="D76" s="15" t="s">
        <v>172</v>
      </c>
      <c r="E76" s="14" t="s">
        <v>92</v>
      </c>
      <c r="F76" s="16">
        <f t="shared" si="26"/>
        <v>4</v>
      </c>
      <c r="G76" s="16">
        <v>144.02000000000001</v>
      </c>
      <c r="H76" s="17">
        <f t="shared" si="27"/>
        <v>177.09</v>
      </c>
      <c r="I76" s="18">
        <f t="shared" si="28"/>
        <v>576.08000000000004</v>
      </c>
      <c r="J76" s="106">
        <f t="shared" si="29"/>
        <v>708.36</v>
      </c>
      <c r="L76" s="19">
        <v>1</v>
      </c>
      <c r="M76" s="19">
        <v>4</v>
      </c>
    </row>
    <row r="77" spans="1:13" ht="8.25" customHeight="1">
      <c r="A77" s="105" t="s">
        <v>173</v>
      </c>
      <c r="B77" s="14" t="s">
        <v>13</v>
      </c>
      <c r="C77" s="14" t="s">
        <v>174</v>
      </c>
      <c r="D77" s="15" t="s">
        <v>175</v>
      </c>
      <c r="E77" s="14" t="s">
        <v>92</v>
      </c>
      <c r="F77" s="16">
        <f t="shared" si="26"/>
        <v>4</v>
      </c>
      <c r="G77" s="16">
        <v>124.14</v>
      </c>
      <c r="H77" s="17">
        <f t="shared" si="27"/>
        <v>152.63999999999999</v>
      </c>
      <c r="I77" s="18">
        <f t="shared" si="28"/>
        <v>496.56</v>
      </c>
      <c r="J77" s="106">
        <f t="shared" si="29"/>
        <v>610.55999999999995</v>
      </c>
      <c r="L77" s="19">
        <v>1</v>
      </c>
      <c r="M77" s="19">
        <v>4</v>
      </c>
    </row>
    <row r="78" spans="1:13" ht="8.25" customHeight="1">
      <c r="A78" s="105" t="s">
        <v>176</v>
      </c>
      <c r="B78" s="14" t="s">
        <v>13</v>
      </c>
      <c r="C78" s="14" t="s">
        <v>177</v>
      </c>
      <c r="D78" s="15" t="s">
        <v>178</v>
      </c>
      <c r="E78" s="14" t="s">
        <v>92</v>
      </c>
      <c r="F78" s="16">
        <f t="shared" si="26"/>
        <v>4</v>
      </c>
      <c r="G78" s="16">
        <v>92.95</v>
      </c>
      <c r="H78" s="17">
        <f t="shared" si="27"/>
        <v>114.29</v>
      </c>
      <c r="I78" s="18">
        <f t="shared" si="28"/>
        <v>371.8</v>
      </c>
      <c r="J78" s="106">
        <f t="shared" si="29"/>
        <v>457.16</v>
      </c>
      <c r="L78" s="19">
        <v>1</v>
      </c>
      <c r="M78" s="19">
        <v>8</v>
      </c>
    </row>
    <row r="79" spans="1:13" ht="8.25" customHeight="1">
      <c r="A79" s="109" t="s">
        <v>179</v>
      </c>
      <c r="B79" s="29"/>
      <c r="C79" s="29"/>
      <c r="D79" s="30" t="s">
        <v>180</v>
      </c>
      <c r="E79" s="29"/>
      <c r="F79" s="29"/>
      <c r="G79" s="29"/>
      <c r="H79" s="29"/>
      <c r="I79" s="31">
        <f>SUM(I80:I90)</f>
        <v>8452</v>
      </c>
      <c r="J79" s="110">
        <f>SUM(J80:J90)</f>
        <v>10392.480000000001</v>
      </c>
      <c r="L79" s="19"/>
      <c r="M79" s="32"/>
    </row>
    <row r="80" spans="1:13" ht="8.25" customHeight="1">
      <c r="A80" s="105" t="s">
        <v>181</v>
      </c>
      <c r="B80" s="14" t="s">
        <v>13</v>
      </c>
      <c r="C80" s="14" t="s">
        <v>182</v>
      </c>
      <c r="D80" s="15" t="s">
        <v>183</v>
      </c>
      <c r="E80" s="14" t="s">
        <v>92</v>
      </c>
      <c r="F80" s="16">
        <f t="shared" ref="F80:F90" si="30">L80*$M$3</f>
        <v>4</v>
      </c>
      <c r="G80" s="16">
        <v>279.33</v>
      </c>
      <c r="H80" s="17">
        <f t="shared" ref="H80:H90" si="31">ROUND((G80*$H$5+G80),2)</f>
        <v>343.46</v>
      </c>
      <c r="I80" s="18">
        <f t="shared" ref="I80:I90" si="32">ROUND((F80*G80),2)</f>
        <v>1117.32</v>
      </c>
      <c r="J80" s="106">
        <f t="shared" ref="J80:J90" si="33">ROUND((F80*H80),2)</f>
        <v>1373.84</v>
      </c>
      <c r="L80" s="19">
        <v>1</v>
      </c>
      <c r="M80" s="19">
        <v>4</v>
      </c>
    </row>
    <row r="81" spans="1:13" ht="8.25" customHeight="1">
      <c r="A81" s="105" t="s">
        <v>184</v>
      </c>
      <c r="B81" s="14" t="s">
        <v>13</v>
      </c>
      <c r="C81" s="14" t="s">
        <v>185</v>
      </c>
      <c r="D81" s="15" t="s">
        <v>186</v>
      </c>
      <c r="E81" s="14" t="s">
        <v>92</v>
      </c>
      <c r="F81" s="16">
        <f t="shared" si="30"/>
        <v>4</v>
      </c>
      <c r="G81" s="16">
        <v>275.87</v>
      </c>
      <c r="H81" s="17">
        <f t="shared" si="31"/>
        <v>339.21</v>
      </c>
      <c r="I81" s="18">
        <f t="shared" si="32"/>
        <v>1103.48</v>
      </c>
      <c r="J81" s="106">
        <f t="shared" si="33"/>
        <v>1356.84</v>
      </c>
      <c r="L81" s="19">
        <v>1</v>
      </c>
      <c r="M81" s="19">
        <v>4</v>
      </c>
    </row>
    <row r="82" spans="1:13" ht="33" customHeight="1">
      <c r="A82" s="105" t="s">
        <v>187</v>
      </c>
      <c r="B82" s="14" t="s">
        <v>61</v>
      </c>
      <c r="C82" s="23">
        <v>86934</v>
      </c>
      <c r="D82" s="15" t="s">
        <v>188</v>
      </c>
      <c r="E82" s="14" t="s">
        <v>169</v>
      </c>
      <c r="F82" s="16">
        <f t="shared" si="30"/>
        <v>4</v>
      </c>
      <c r="G82" s="28">
        <v>444.7</v>
      </c>
      <c r="H82" s="17">
        <f t="shared" si="31"/>
        <v>546.79999999999995</v>
      </c>
      <c r="I82" s="18">
        <f t="shared" si="32"/>
        <v>1778.8</v>
      </c>
      <c r="J82" s="106">
        <f t="shared" si="33"/>
        <v>2187.1999999999998</v>
      </c>
      <c r="L82" s="19">
        <v>1</v>
      </c>
      <c r="M82" s="24">
        <v>4</v>
      </c>
    </row>
    <row r="83" spans="1:13" ht="8.25" customHeight="1">
      <c r="A83" s="105" t="s">
        <v>189</v>
      </c>
      <c r="B83" s="14" t="s">
        <v>13</v>
      </c>
      <c r="C83" s="14" t="s">
        <v>190</v>
      </c>
      <c r="D83" s="15" t="s">
        <v>191</v>
      </c>
      <c r="E83" s="14" t="s">
        <v>92</v>
      </c>
      <c r="F83" s="16">
        <f t="shared" si="30"/>
        <v>4</v>
      </c>
      <c r="G83" s="16">
        <v>246.14</v>
      </c>
      <c r="H83" s="17">
        <f t="shared" si="31"/>
        <v>302.64999999999998</v>
      </c>
      <c r="I83" s="18">
        <f t="shared" si="32"/>
        <v>984.56</v>
      </c>
      <c r="J83" s="106">
        <f t="shared" si="33"/>
        <v>1210.5999999999999</v>
      </c>
      <c r="L83" s="19">
        <v>1</v>
      </c>
      <c r="M83" s="19">
        <v>4</v>
      </c>
    </row>
    <row r="84" spans="1:13">
      <c r="A84" s="105" t="s">
        <v>192</v>
      </c>
      <c r="B84" s="14" t="s">
        <v>13</v>
      </c>
      <c r="C84" s="14" t="s">
        <v>193</v>
      </c>
      <c r="D84" s="15" t="s">
        <v>194</v>
      </c>
      <c r="E84" s="14" t="s">
        <v>92</v>
      </c>
      <c r="F84" s="16">
        <f t="shared" si="30"/>
        <v>8</v>
      </c>
      <c r="G84" s="16">
        <v>28.18</v>
      </c>
      <c r="H84" s="17">
        <f t="shared" si="31"/>
        <v>34.65</v>
      </c>
      <c r="I84" s="18">
        <f t="shared" si="32"/>
        <v>225.44</v>
      </c>
      <c r="J84" s="106">
        <f t="shared" si="33"/>
        <v>277.2</v>
      </c>
      <c r="L84" s="19">
        <v>2</v>
      </c>
      <c r="M84" s="19">
        <v>12</v>
      </c>
    </row>
    <row r="85" spans="1:13">
      <c r="A85" s="105" t="s">
        <v>195</v>
      </c>
      <c r="B85" s="14" t="s">
        <v>13</v>
      </c>
      <c r="C85" s="14" t="s">
        <v>196</v>
      </c>
      <c r="D85" s="15" t="s">
        <v>197</v>
      </c>
      <c r="E85" s="14" t="s">
        <v>92</v>
      </c>
      <c r="F85" s="16">
        <f t="shared" si="30"/>
        <v>4</v>
      </c>
      <c r="G85" s="16">
        <v>40.54</v>
      </c>
      <c r="H85" s="17">
        <f t="shared" si="31"/>
        <v>49.85</v>
      </c>
      <c r="I85" s="18">
        <f t="shared" si="32"/>
        <v>162.16</v>
      </c>
      <c r="J85" s="106">
        <f t="shared" si="33"/>
        <v>199.4</v>
      </c>
      <c r="L85" s="19">
        <v>1</v>
      </c>
      <c r="M85" s="19">
        <v>8</v>
      </c>
    </row>
    <row r="86" spans="1:13">
      <c r="A86" s="105" t="s">
        <v>198</v>
      </c>
      <c r="B86" s="14" t="s">
        <v>13</v>
      </c>
      <c r="C86" s="14" t="s">
        <v>199</v>
      </c>
      <c r="D86" s="15" t="s">
        <v>200</v>
      </c>
      <c r="E86" s="14" t="s">
        <v>92</v>
      </c>
      <c r="F86" s="16">
        <f t="shared" si="30"/>
        <v>4</v>
      </c>
      <c r="G86" s="16">
        <v>279.07</v>
      </c>
      <c r="H86" s="17">
        <f t="shared" si="31"/>
        <v>343.14</v>
      </c>
      <c r="I86" s="18">
        <f t="shared" si="32"/>
        <v>1116.28</v>
      </c>
      <c r="J86" s="106">
        <f t="shared" si="33"/>
        <v>1372.56</v>
      </c>
      <c r="L86" s="19">
        <v>1</v>
      </c>
      <c r="M86" s="19">
        <v>4</v>
      </c>
    </row>
    <row r="87" spans="1:13">
      <c r="A87" s="105" t="s">
        <v>201</v>
      </c>
      <c r="B87" s="14" t="s">
        <v>13</v>
      </c>
      <c r="C87" s="14" t="s">
        <v>202</v>
      </c>
      <c r="D87" s="15" t="s">
        <v>203</v>
      </c>
      <c r="E87" s="14" t="s">
        <v>92</v>
      </c>
      <c r="F87" s="16">
        <f t="shared" si="30"/>
        <v>4</v>
      </c>
      <c r="G87" s="17">
        <v>126.38</v>
      </c>
      <c r="H87" s="17">
        <f t="shared" si="31"/>
        <v>155.4</v>
      </c>
      <c r="I87" s="18">
        <f t="shared" si="32"/>
        <v>505.52</v>
      </c>
      <c r="J87" s="106">
        <f t="shared" si="33"/>
        <v>621.6</v>
      </c>
      <c r="L87" s="19">
        <v>1</v>
      </c>
      <c r="M87" s="19">
        <v>4</v>
      </c>
    </row>
    <row r="88" spans="1:13" ht="16.5">
      <c r="A88" s="105" t="s">
        <v>204</v>
      </c>
      <c r="B88" s="14" t="s">
        <v>13</v>
      </c>
      <c r="C88" s="14" t="s">
        <v>205</v>
      </c>
      <c r="D88" s="15" t="s">
        <v>206</v>
      </c>
      <c r="E88" s="14" t="s">
        <v>92</v>
      </c>
      <c r="F88" s="16">
        <f t="shared" si="30"/>
        <v>8</v>
      </c>
      <c r="G88" s="16">
        <v>53.46</v>
      </c>
      <c r="H88" s="17">
        <f t="shared" si="31"/>
        <v>65.73</v>
      </c>
      <c r="I88" s="18">
        <f t="shared" si="32"/>
        <v>427.68</v>
      </c>
      <c r="J88" s="106">
        <f t="shared" si="33"/>
        <v>525.84</v>
      </c>
      <c r="L88" s="19">
        <v>2</v>
      </c>
      <c r="M88" s="19">
        <v>12</v>
      </c>
    </row>
    <row r="89" spans="1:13" ht="24.75">
      <c r="A89" s="105" t="s">
        <v>207</v>
      </c>
      <c r="B89" s="14" t="s">
        <v>61</v>
      </c>
      <c r="C89" s="23">
        <v>86906</v>
      </c>
      <c r="D89" s="15" t="s">
        <v>208</v>
      </c>
      <c r="E89" s="14" t="s">
        <v>169</v>
      </c>
      <c r="F89" s="16">
        <f t="shared" si="30"/>
        <v>4</v>
      </c>
      <c r="G89" s="33">
        <v>69.39</v>
      </c>
      <c r="H89" s="17">
        <f t="shared" si="31"/>
        <v>85.32</v>
      </c>
      <c r="I89" s="18">
        <f t="shared" si="32"/>
        <v>277.56</v>
      </c>
      <c r="J89" s="106">
        <f t="shared" si="33"/>
        <v>341.28</v>
      </c>
      <c r="L89" s="19">
        <v>1</v>
      </c>
      <c r="M89" s="19">
        <v>4</v>
      </c>
    </row>
    <row r="90" spans="1:13" ht="24.75">
      <c r="A90" s="105" t="s">
        <v>209</v>
      </c>
      <c r="B90" s="14" t="s">
        <v>61</v>
      </c>
      <c r="C90" s="23">
        <v>95546</v>
      </c>
      <c r="D90" s="15" t="s">
        <v>210</v>
      </c>
      <c r="E90" s="14" t="s">
        <v>169</v>
      </c>
      <c r="F90" s="16">
        <f t="shared" si="30"/>
        <v>4</v>
      </c>
      <c r="G90" s="33">
        <v>188.3</v>
      </c>
      <c r="H90" s="17">
        <f t="shared" si="31"/>
        <v>231.53</v>
      </c>
      <c r="I90" s="18">
        <f t="shared" si="32"/>
        <v>753.2</v>
      </c>
      <c r="J90" s="106">
        <f t="shared" si="33"/>
        <v>926.12</v>
      </c>
      <c r="L90" s="19">
        <v>1</v>
      </c>
      <c r="M90" s="19">
        <v>4</v>
      </c>
    </row>
    <row r="91" spans="1:13">
      <c r="A91" s="107" t="s">
        <v>211</v>
      </c>
      <c r="B91" s="20"/>
      <c r="C91" s="20"/>
      <c r="D91" s="21" t="s">
        <v>212</v>
      </c>
      <c r="E91" s="20"/>
      <c r="F91" s="20"/>
      <c r="G91" s="34"/>
      <c r="H91" s="34"/>
      <c r="I91" s="22">
        <f>SUM(I92,I94,I106)</f>
        <v>23196.080000000002</v>
      </c>
      <c r="J91" s="108">
        <f>SUM(J92,J94,J106)</f>
        <v>28523.56</v>
      </c>
      <c r="L91" s="19"/>
      <c r="M91" s="13"/>
    </row>
    <row r="92" spans="1:13">
      <c r="A92" s="109" t="s">
        <v>213</v>
      </c>
      <c r="B92" s="29"/>
      <c r="C92" s="29"/>
      <c r="D92" s="30" t="s">
        <v>214</v>
      </c>
      <c r="E92" s="29"/>
      <c r="F92" s="29"/>
      <c r="G92" s="35"/>
      <c r="H92" s="35"/>
      <c r="I92" s="31">
        <f>I93</f>
        <v>7033.24</v>
      </c>
      <c r="J92" s="110">
        <f>J93</f>
        <v>8648.08</v>
      </c>
      <c r="L92" s="19">
        <f t="shared" si="25"/>
        <v>0</v>
      </c>
      <c r="M92" s="32"/>
    </row>
    <row r="93" spans="1:13" ht="16.5">
      <c r="A93" s="105" t="s">
        <v>215</v>
      </c>
      <c r="B93" s="14" t="s">
        <v>61</v>
      </c>
      <c r="C93" s="23">
        <v>101502</v>
      </c>
      <c r="D93" s="15" t="s">
        <v>216</v>
      </c>
      <c r="E93" s="14" t="s">
        <v>217</v>
      </c>
      <c r="F93" s="16">
        <f t="shared" ref="F93" si="34">L93*$M$3</f>
        <v>4</v>
      </c>
      <c r="G93" s="17">
        <v>1758.31</v>
      </c>
      <c r="H93" s="17">
        <f t="shared" ref="H93" si="35">ROUND((G93*$H$5+G93),2)</f>
        <v>2162.02</v>
      </c>
      <c r="I93" s="18">
        <f t="shared" ref="I93" si="36">ROUND((F93*G93),2)</f>
        <v>7033.24</v>
      </c>
      <c r="J93" s="106">
        <f t="shared" ref="J93" si="37">ROUND((F93*H93),2)</f>
        <v>8648.08</v>
      </c>
      <c r="L93" s="19">
        <v>1</v>
      </c>
      <c r="M93" s="24">
        <v>4</v>
      </c>
    </row>
    <row r="94" spans="1:13">
      <c r="A94" s="109" t="s">
        <v>218</v>
      </c>
      <c r="B94" s="29"/>
      <c r="C94" s="29"/>
      <c r="D94" s="30" t="s">
        <v>219</v>
      </c>
      <c r="E94" s="29"/>
      <c r="F94" s="29"/>
      <c r="G94" s="35"/>
      <c r="H94" s="35"/>
      <c r="I94" s="31">
        <f>SUM(I95:I105)</f>
        <v>10977.759999999998</v>
      </c>
      <c r="J94" s="110">
        <f>SUM(J95:J105)</f>
        <v>13499.960000000001</v>
      </c>
      <c r="L94" s="19">
        <f t="shared" si="25"/>
        <v>0</v>
      </c>
      <c r="M94" s="32"/>
    </row>
    <row r="95" spans="1:13" ht="24.75">
      <c r="A95" s="105" t="s">
        <v>220</v>
      </c>
      <c r="B95" s="14" t="s">
        <v>61</v>
      </c>
      <c r="C95" s="23">
        <v>101876</v>
      </c>
      <c r="D95" s="15" t="s">
        <v>221</v>
      </c>
      <c r="E95" s="14" t="s">
        <v>92</v>
      </c>
      <c r="F95" s="16">
        <f t="shared" ref="F95:F105" si="38">L95*$M$3</f>
        <v>4</v>
      </c>
      <c r="G95" s="33">
        <v>77.14</v>
      </c>
      <c r="H95" s="17">
        <f t="shared" ref="H95:H105" si="39">ROUND((G95*$H$5+G95),2)</f>
        <v>94.85</v>
      </c>
      <c r="I95" s="18">
        <f t="shared" ref="I95:I105" si="40">ROUND((F95*G95),2)</f>
        <v>308.56</v>
      </c>
      <c r="J95" s="106">
        <f t="shared" ref="J95:J105" si="41">ROUND((F95*H95),2)</f>
        <v>379.4</v>
      </c>
      <c r="L95" s="19">
        <v>1</v>
      </c>
      <c r="M95" s="24">
        <v>4</v>
      </c>
    </row>
    <row r="96" spans="1:13" ht="16.5">
      <c r="A96" s="105" t="s">
        <v>383</v>
      </c>
      <c r="B96" s="14" t="s">
        <v>61</v>
      </c>
      <c r="C96" s="23">
        <v>96985</v>
      </c>
      <c r="D96" s="15" t="s">
        <v>222</v>
      </c>
      <c r="E96" s="14" t="s">
        <v>92</v>
      </c>
      <c r="F96" s="16">
        <f t="shared" si="38"/>
        <v>4</v>
      </c>
      <c r="G96" s="33">
        <v>94.16</v>
      </c>
      <c r="H96" s="17">
        <f t="shared" si="39"/>
        <v>115.78</v>
      </c>
      <c r="I96" s="18">
        <f t="shared" si="40"/>
        <v>376.64</v>
      </c>
      <c r="J96" s="106">
        <f t="shared" si="41"/>
        <v>463.12</v>
      </c>
      <c r="L96" s="19">
        <v>1</v>
      </c>
      <c r="M96" s="24"/>
    </row>
    <row r="97" spans="1:13" ht="16.5">
      <c r="A97" s="105" t="s">
        <v>384</v>
      </c>
      <c r="B97" s="14" t="s">
        <v>61</v>
      </c>
      <c r="C97" s="14">
        <v>101890</v>
      </c>
      <c r="D97" s="15" t="s">
        <v>223</v>
      </c>
      <c r="E97" s="14" t="s">
        <v>92</v>
      </c>
      <c r="F97" s="16">
        <f t="shared" si="38"/>
        <v>12</v>
      </c>
      <c r="G97" s="17">
        <v>16.670000000000002</v>
      </c>
      <c r="H97" s="17">
        <f t="shared" si="39"/>
        <v>20.5</v>
      </c>
      <c r="I97" s="18">
        <f t="shared" si="40"/>
        <v>200.04</v>
      </c>
      <c r="J97" s="106">
        <f t="shared" si="41"/>
        <v>246</v>
      </c>
      <c r="L97" s="19">
        <v>3</v>
      </c>
      <c r="M97" s="19"/>
    </row>
    <row r="98" spans="1:13" ht="16.5">
      <c r="A98" s="105" t="s">
        <v>385</v>
      </c>
      <c r="B98" s="14" t="s">
        <v>61</v>
      </c>
      <c r="C98" s="14">
        <v>101891</v>
      </c>
      <c r="D98" s="15" t="s">
        <v>224</v>
      </c>
      <c r="E98" s="14" t="s">
        <v>92</v>
      </c>
      <c r="F98" s="16">
        <f t="shared" si="38"/>
        <v>4</v>
      </c>
      <c r="G98" s="17">
        <v>28.95</v>
      </c>
      <c r="H98" s="17">
        <f t="shared" si="39"/>
        <v>35.6</v>
      </c>
      <c r="I98" s="18">
        <f t="shared" si="40"/>
        <v>115.8</v>
      </c>
      <c r="J98" s="106">
        <f t="shared" si="41"/>
        <v>142.4</v>
      </c>
      <c r="L98" s="19">
        <v>1</v>
      </c>
      <c r="M98" s="19"/>
    </row>
    <row r="99" spans="1:13">
      <c r="A99" s="105" t="s">
        <v>225</v>
      </c>
      <c r="B99" s="14" t="s">
        <v>13</v>
      </c>
      <c r="C99" s="14" t="s">
        <v>226</v>
      </c>
      <c r="D99" s="15" t="s">
        <v>227</v>
      </c>
      <c r="E99" s="14" t="s">
        <v>47</v>
      </c>
      <c r="F99" s="16">
        <f t="shared" si="38"/>
        <v>120</v>
      </c>
      <c r="G99" s="16">
        <v>17.14</v>
      </c>
      <c r="H99" s="17">
        <f t="shared" si="39"/>
        <v>21.08</v>
      </c>
      <c r="I99" s="18">
        <f t="shared" si="40"/>
        <v>2056.8000000000002</v>
      </c>
      <c r="J99" s="106">
        <f t="shared" si="41"/>
        <v>2529.6</v>
      </c>
      <c r="L99" s="19">
        <v>30</v>
      </c>
      <c r="M99" s="19">
        <v>80</v>
      </c>
    </row>
    <row r="100" spans="1:13">
      <c r="A100" s="105" t="s">
        <v>228</v>
      </c>
      <c r="B100" s="14" t="s">
        <v>13</v>
      </c>
      <c r="C100" s="14" t="s">
        <v>229</v>
      </c>
      <c r="D100" s="15" t="s">
        <v>230</v>
      </c>
      <c r="E100" s="14" t="s">
        <v>47</v>
      </c>
      <c r="F100" s="16">
        <f t="shared" si="38"/>
        <v>100</v>
      </c>
      <c r="G100" s="17">
        <v>15.18</v>
      </c>
      <c r="H100" s="17">
        <f t="shared" si="39"/>
        <v>18.670000000000002</v>
      </c>
      <c r="I100" s="18">
        <f t="shared" si="40"/>
        <v>1518</v>
      </c>
      <c r="J100" s="106">
        <f t="shared" si="41"/>
        <v>1867</v>
      </c>
      <c r="L100" s="19">
        <v>25</v>
      </c>
      <c r="M100" s="19">
        <v>280</v>
      </c>
    </row>
    <row r="101" spans="1:13" ht="16.5">
      <c r="A101" s="105" t="s">
        <v>231</v>
      </c>
      <c r="B101" s="14" t="s">
        <v>13</v>
      </c>
      <c r="C101" s="14" t="s">
        <v>232</v>
      </c>
      <c r="D101" s="15" t="s">
        <v>233</v>
      </c>
      <c r="E101" s="14" t="s">
        <v>47</v>
      </c>
      <c r="F101" s="16">
        <f t="shared" si="38"/>
        <v>120</v>
      </c>
      <c r="G101" s="17">
        <v>15.67</v>
      </c>
      <c r="H101" s="17">
        <f t="shared" si="39"/>
        <v>19.27</v>
      </c>
      <c r="I101" s="18">
        <f t="shared" si="40"/>
        <v>1880.4</v>
      </c>
      <c r="J101" s="106">
        <f t="shared" si="41"/>
        <v>2312.4</v>
      </c>
      <c r="L101" s="19">
        <v>30</v>
      </c>
      <c r="M101" s="19">
        <v>128</v>
      </c>
    </row>
    <row r="102" spans="1:13">
      <c r="A102" s="105" t="s">
        <v>234</v>
      </c>
      <c r="B102" s="14" t="s">
        <v>13</v>
      </c>
      <c r="C102" s="14" t="s">
        <v>235</v>
      </c>
      <c r="D102" s="15" t="s">
        <v>236</v>
      </c>
      <c r="E102" s="14" t="s">
        <v>47</v>
      </c>
      <c r="F102" s="16">
        <f t="shared" si="38"/>
        <v>120</v>
      </c>
      <c r="G102" s="17">
        <v>12.57</v>
      </c>
      <c r="H102" s="17">
        <f t="shared" si="39"/>
        <v>15.46</v>
      </c>
      <c r="I102" s="18">
        <f t="shared" si="40"/>
        <v>1508.4</v>
      </c>
      <c r="J102" s="106">
        <f t="shared" si="41"/>
        <v>1855.2</v>
      </c>
      <c r="L102" s="19">
        <v>30</v>
      </c>
      <c r="M102" s="19">
        <v>80</v>
      </c>
    </row>
    <row r="103" spans="1:13">
      <c r="A103" s="105" t="s">
        <v>237</v>
      </c>
      <c r="B103" s="14" t="s">
        <v>13</v>
      </c>
      <c r="C103" s="14" t="s">
        <v>238</v>
      </c>
      <c r="D103" s="15" t="s">
        <v>239</v>
      </c>
      <c r="E103" s="14" t="s">
        <v>47</v>
      </c>
      <c r="F103" s="16">
        <f t="shared" si="38"/>
        <v>108</v>
      </c>
      <c r="G103" s="17">
        <v>8.6199999999999992</v>
      </c>
      <c r="H103" s="17">
        <f t="shared" si="39"/>
        <v>10.6</v>
      </c>
      <c r="I103" s="18">
        <f t="shared" si="40"/>
        <v>930.96</v>
      </c>
      <c r="J103" s="106">
        <f t="shared" si="41"/>
        <v>1144.8</v>
      </c>
      <c r="L103" s="19">
        <v>27</v>
      </c>
      <c r="M103" s="19">
        <v>240</v>
      </c>
    </row>
    <row r="104" spans="1:13">
      <c r="A104" s="105" t="s">
        <v>240</v>
      </c>
      <c r="B104" s="14" t="s">
        <v>13</v>
      </c>
      <c r="C104" s="14" t="s">
        <v>241</v>
      </c>
      <c r="D104" s="15" t="s">
        <v>242</v>
      </c>
      <c r="E104" s="14" t="s">
        <v>243</v>
      </c>
      <c r="F104" s="16">
        <f t="shared" si="38"/>
        <v>196</v>
      </c>
      <c r="G104" s="17">
        <v>3.98</v>
      </c>
      <c r="H104" s="17">
        <f t="shared" si="39"/>
        <v>4.8899999999999997</v>
      </c>
      <c r="I104" s="18">
        <f t="shared" si="40"/>
        <v>780.08</v>
      </c>
      <c r="J104" s="106">
        <f t="shared" si="41"/>
        <v>958.44</v>
      </c>
      <c r="L104" s="19">
        <v>49</v>
      </c>
      <c r="M104" s="26">
        <v>1080</v>
      </c>
    </row>
    <row r="105" spans="1:13">
      <c r="A105" s="105" t="s">
        <v>244</v>
      </c>
      <c r="B105" s="14" t="s">
        <v>13</v>
      </c>
      <c r="C105" s="14" t="s">
        <v>245</v>
      </c>
      <c r="D105" s="15" t="s">
        <v>246</v>
      </c>
      <c r="E105" s="14" t="s">
        <v>47</v>
      </c>
      <c r="F105" s="16">
        <f t="shared" si="38"/>
        <v>416</v>
      </c>
      <c r="G105" s="17">
        <v>3.13</v>
      </c>
      <c r="H105" s="17">
        <f t="shared" si="39"/>
        <v>3.85</v>
      </c>
      <c r="I105" s="18">
        <f t="shared" si="40"/>
        <v>1302.08</v>
      </c>
      <c r="J105" s="106">
        <f t="shared" si="41"/>
        <v>1601.6</v>
      </c>
      <c r="L105" s="19">
        <v>104</v>
      </c>
      <c r="M105" s="19">
        <v>600</v>
      </c>
    </row>
    <row r="106" spans="1:13">
      <c r="A106" s="109" t="s">
        <v>247</v>
      </c>
      <c r="B106" s="29"/>
      <c r="C106" s="29"/>
      <c r="D106" s="30" t="s">
        <v>248</v>
      </c>
      <c r="E106" s="29"/>
      <c r="F106" s="29"/>
      <c r="G106" s="35"/>
      <c r="H106" s="35"/>
      <c r="I106" s="36">
        <f>SUM(I107:I115)</f>
        <v>5185.08</v>
      </c>
      <c r="J106" s="111">
        <f>SUM(J107:J115)</f>
        <v>6375.5199999999995</v>
      </c>
      <c r="L106" s="19"/>
      <c r="M106" s="32"/>
    </row>
    <row r="107" spans="1:13">
      <c r="A107" s="105" t="s">
        <v>249</v>
      </c>
      <c r="B107" s="14" t="s">
        <v>13</v>
      </c>
      <c r="C107" s="14" t="s">
        <v>250</v>
      </c>
      <c r="D107" s="15" t="s">
        <v>251</v>
      </c>
      <c r="E107" s="14" t="s">
        <v>92</v>
      </c>
      <c r="F107" s="16">
        <f t="shared" ref="F107:F115" si="42">L107*$M$3</f>
        <v>60</v>
      </c>
      <c r="G107" s="17">
        <v>13.29</v>
      </c>
      <c r="H107" s="17">
        <f t="shared" ref="H107:H115" si="43">ROUND((G107*$H$5+G107),2)</f>
        <v>16.34</v>
      </c>
      <c r="I107" s="18">
        <f t="shared" ref="I107:I115" si="44">ROUND((F107*G107),2)</f>
        <v>797.4</v>
      </c>
      <c r="J107" s="106">
        <f t="shared" ref="J107:J115" si="45">ROUND((F107*H107),2)</f>
        <v>980.4</v>
      </c>
      <c r="L107" s="19">
        <v>15</v>
      </c>
      <c r="M107" s="19">
        <v>88</v>
      </c>
    </row>
    <row r="108" spans="1:13">
      <c r="A108" s="105" t="s">
        <v>252</v>
      </c>
      <c r="B108" s="14" t="s">
        <v>13</v>
      </c>
      <c r="C108" s="14" t="s">
        <v>253</v>
      </c>
      <c r="D108" s="15" t="s">
        <v>254</v>
      </c>
      <c r="E108" s="14" t="s">
        <v>92</v>
      </c>
      <c r="F108" s="16">
        <f t="shared" si="42"/>
        <v>4</v>
      </c>
      <c r="G108" s="16">
        <v>16.62</v>
      </c>
      <c r="H108" s="17">
        <f t="shared" si="43"/>
        <v>20.440000000000001</v>
      </c>
      <c r="I108" s="18">
        <f t="shared" si="44"/>
        <v>66.48</v>
      </c>
      <c r="J108" s="106">
        <f t="shared" si="45"/>
        <v>81.760000000000005</v>
      </c>
      <c r="L108" s="19">
        <v>1</v>
      </c>
      <c r="M108" s="19">
        <v>16</v>
      </c>
    </row>
    <row r="109" spans="1:13">
      <c r="A109" s="105" t="s">
        <v>255</v>
      </c>
      <c r="B109" s="14" t="s">
        <v>13</v>
      </c>
      <c r="C109" s="14" t="s">
        <v>256</v>
      </c>
      <c r="D109" s="15" t="s">
        <v>257</v>
      </c>
      <c r="E109" s="14" t="s">
        <v>92</v>
      </c>
      <c r="F109" s="16">
        <f t="shared" si="42"/>
        <v>4</v>
      </c>
      <c r="G109" s="17">
        <v>16.05</v>
      </c>
      <c r="H109" s="17">
        <f t="shared" si="43"/>
        <v>19.739999999999998</v>
      </c>
      <c r="I109" s="18">
        <f t="shared" si="44"/>
        <v>64.2</v>
      </c>
      <c r="J109" s="106">
        <f t="shared" si="45"/>
        <v>78.959999999999994</v>
      </c>
      <c r="L109" s="19">
        <v>1</v>
      </c>
      <c r="M109" s="19">
        <v>8</v>
      </c>
    </row>
    <row r="110" spans="1:13" ht="16.5">
      <c r="A110" s="105" t="s">
        <v>258</v>
      </c>
      <c r="B110" s="14" t="s">
        <v>13</v>
      </c>
      <c r="C110" s="14" t="s">
        <v>259</v>
      </c>
      <c r="D110" s="15" t="s">
        <v>260</v>
      </c>
      <c r="E110" s="14" t="s">
        <v>92</v>
      </c>
      <c r="F110" s="16">
        <f t="shared" si="42"/>
        <v>24</v>
      </c>
      <c r="G110" s="17">
        <v>10.01</v>
      </c>
      <c r="H110" s="17">
        <f t="shared" si="43"/>
        <v>12.31</v>
      </c>
      <c r="I110" s="18">
        <f t="shared" si="44"/>
        <v>240.24</v>
      </c>
      <c r="J110" s="106">
        <f t="shared" si="45"/>
        <v>295.44</v>
      </c>
      <c r="L110" s="19">
        <v>6</v>
      </c>
      <c r="M110" s="19">
        <v>28</v>
      </c>
    </row>
    <row r="111" spans="1:13" ht="16.5">
      <c r="A111" s="105" t="s">
        <v>261</v>
      </c>
      <c r="B111" s="14" t="s">
        <v>13</v>
      </c>
      <c r="C111" s="14" t="s">
        <v>262</v>
      </c>
      <c r="D111" s="15" t="s">
        <v>263</v>
      </c>
      <c r="E111" s="14" t="s">
        <v>92</v>
      </c>
      <c r="F111" s="16">
        <f t="shared" si="42"/>
        <v>16</v>
      </c>
      <c r="G111" s="17">
        <v>133.76</v>
      </c>
      <c r="H111" s="17">
        <f t="shared" si="43"/>
        <v>164.47</v>
      </c>
      <c r="I111" s="18">
        <f t="shared" si="44"/>
        <v>2140.16</v>
      </c>
      <c r="J111" s="106">
        <f t="shared" si="45"/>
        <v>2631.52</v>
      </c>
      <c r="L111" s="19">
        <v>4</v>
      </c>
      <c r="M111" s="19">
        <v>8</v>
      </c>
    </row>
    <row r="112" spans="1:13">
      <c r="A112" s="105" t="s">
        <v>264</v>
      </c>
      <c r="B112" s="14" t="s">
        <v>13</v>
      </c>
      <c r="C112" s="14" t="s">
        <v>265</v>
      </c>
      <c r="D112" s="15" t="s">
        <v>266</v>
      </c>
      <c r="E112" s="14" t="s">
        <v>267</v>
      </c>
      <c r="F112" s="16">
        <f t="shared" si="42"/>
        <v>4</v>
      </c>
      <c r="G112" s="16">
        <v>23.03</v>
      </c>
      <c r="H112" s="17">
        <f t="shared" si="43"/>
        <v>28.32</v>
      </c>
      <c r="I112" s="18">
        <f t="shared" si="44"/>
        <v>92.12</v>
      </c>
      <c r="J112" s="106">
        <f t="shared" si="45"/>
        <v>113.28</v>
      </c>
      <c r="L112" s="19">
        <v>1</v>
      </c>
      <c r="M112" s="19">
        <v>28</v>
      </c>
    </row>
    <row r="113" spans="1:13">
      <c r="A113" s="105" t="s">
        <v>268</v>
      </c>
      <c r="B113" s="14" t="s">
        <v>13</v>
      </c>
      <c r="C113" s="14" t="s">
        <v>269</v>
      </c>
      <c r="D113" s="15" t="s">
        <v>270</v>
      </c>
      <c r="E113" s="14" t="s">
        <v>267</v>
      </c>
      <c r="F113" s="16">
        <f t="shared" si="42"/>
        <v>16</v>
      </c>
      <c r="G113" s="16">
        <v>32.729999999999997</v>
      </c>
      <c r="H113" s="17">
        <f t="shared" si="43"/>
        <v>40.24</v>
      </c>
      <c r="I113" s="18">
        <f t="shared" si="44"/>
        <v>523.67999999999995</v>
      </c>
      <c r="J113" s="106">
        <f t="shared" si="45"/>
        <v>643.84</v>
      </c>
      <c r="L113" s="19">
        <v>4</v>
      </c>
      <c r="M113" s="19">
        <v>4</v>
      </c>
    </row>
    <row r="114" spans="1:13">
      <c r="A114" s="105" t="s">
        <v>271</v>
      </c>
      <c r="B114" s="14" t="s">
        <v>13</v>
      </c>
      <c r="C114" s="14" t="s">
        <v>272</v>
      </c>
      <c r="D114" s="15" t="s">
        <v>273</v>
      </c>
      <c r="E114" s="14" t="s">
        <v>267</v>
      </c>
      <c r="F114" s="16">
        <f t="shared" si="42"/>
        <v>24</v>
      </c>
      <c r="G114" s="16">
        <v>23.45</v>
      </c>
      <c r="H114" s="17">
        <f t="shared" si="43"/>
        <v>28.83</v>
      </c>
      <c r="I114" s="18">
        <f t="shared" si="44"/>
        <v>562.79999999999995</v>
      </c>
      <c r="J114" s="106">
        <f t="shared" si="45"/>
        <v>691.92</v>
      </c>
      <c r="L114" s="19">
        <v>6</v>
      </c>
      <c r="M114" s="19">
        <v>68</v>
      </c>
    </row>
    <row r="115" spans="1:13" ht="16.5">
      <c r="A115" s="105" t="s">
        <v>274</v>
      </c>
      <c r="B115" s="14" t="s">
        <v>13</v>
      </c>
      <c r="C115" s="14" t="s">
        <v>275</v>
      </c>
      <c r="D115" s="15" t="s">
        <v>276</v>
      </c>
      <c r="E115" s="14" t="s">
        <v>92</v>
      </c>
      <c r="F115" s="16">
        <f t="shared" si="42"/>
        <v>40</v>
      </c>
      <c r="G115" s="16">
        <v>17.45</v>
      </c>
      <c r="H115" s="17">
        <f t="shared" si="43"/>
        <v>21.46</v>
      </c>
      <c r="I115" s="18">
        <f t="shared" si="44"/>
        <v>698</v>
      </c>
      <c r="J115" s="106">
        <f t="shared" si="45"/>
        <v>858.4</v>
      </c>
      <c r="L115" s="19">
        <v>10</v>
      </c>
      <c r="M115" s="19">
        <v>36</v>
      </c>
    </row>
    <row r="116" spans="1:13">
      <c r="A116" s="107" t="s">
        <v>277</v>
      </c>
      <c r="B116" s="20"/>
      <c r="C116" s="20"/>
      <c r="D116" s="21" t="s">
        <v>279</v>
      </c>
      <c r="E116" s="20"/>
      <c r="F116" s="20"/>
      <c r="G116" s="20"/>
      <c r="H116" s="20"/>
      <c r="I116" s="22">
        <f>SUM(I117:I123)</f>
        <v>21724.95</v>
      </c>
      <c r="J116" s="108">
        <f>SUM(J117:J123)</f>
        <v>26708.52</v>
      </c>
      <c r="L116" s="19">
        <f t="shared" ref="L116" si="46">M116/4*5</f>
        <v>0</v>
      </c>
      <c r="M116" s="13"/>
    </row>
    <row r="117" spans="1:13" ht="16.5">
      <c r="A117" s="105" t="s">
        <v>278</v>
      </c>
      <c r="B117" s="14" t="s">
        <v>61</v>
      </c>
      <c r="C117" s="14">
        <v>88484</v>
      </c>
      <c r="D117" s="15" t="s">
        <v>280</v>
      </c>
      <c r="E117" s="14" t="s">
        <v>16</v>
      </c>
      <c r="F117" s="16">
        <f t="shared" ref="F117:F123" si="47">L117*$M$3</f>
        <v>152.96</v>
      </c>
      <c r="G117" s="16">
        <v>5.6</v>
      </c>
      <c r="H117" s="17">
        <f t="shared" ref="H117:H123" si="48">ROUND((G117*$H$5+G117),2)</f>
        <v>6.89</v>
      </c>
      <c r="I117" s="18">
        <f t="shared" ref="I117:I123" si="49">ROUND((F117*G117),2)</f>
        <v>856.58</v>
      </c>
      <c r="J117" s="106">
        <f t="shared" ref="J117:J123" si="50">ROUND((F117*H117),2)</f>
        <v>1053.8900000000001</v>
      </c>
      <c r="L117" s="19">
        <f>(6.78+10.18+9.04+9.04+1.1+2.1)</f>
        <v>38.24</v>
      </c>
      <c r="M117" s="19"/>
    </row>
    <row r="118" spans="1:13" ht="16.5">
      <c r="A118" s="105" t="s">
        <v>358</v>
      </c>
      <c r="B118" s="14" t="s">
        <v>61</v>
      </c>
      <c r="C118" s="14">
        <v>88485</v>
      </c>
      <c r="D118" s="15" t="s">
        <v>281</v>
      </c>
      <c r="E118" s="14" t="s">
        <v>16</v>
      </c>
      <c r="F118" s="16">
        <f t="shared" si="47"/>
        <v>631.96</v>
      </c>
      <c r="G118" s="16">
        <v>4.55</v>
      </c>
      <c r="H118" s="17">
        <f t="shared" si="48"/>
        <v>5.59</v>
      </c>
      <c r="I118" s="18">
        <f t="shared" si="49"/>
        <v>2875.42</v>
      </c>
      <c r="J118" s="106">
        <f t="shared" si="50"/>
        <v>3532.66</v>
      </c>
      <c r="L118" s="19">
        <f>(122.5+73.73-38.24)</f>
        <v>157.99</v>
      </c>
      <c r="M118" s="19"/>
    </row>
    <row r="119" spans="1:13" ht="16.5">
      <c r="A119" s="105" t="s">
        <v>359</v>
      </c>
      <c r="B119" s="14" t="s">
        <v>61</v>
      </c>
      <c r="C119" s="14">
        <v>88488</v>
      </c>
      <c r="D119" s="15" t="s">
        <v>282</v>
      </c>
      <c r="E119" s="14" t="s">
        <v>16</v>
      </c>
      <c r="F119" s="16">
        <f t="shared" si="47"/>
        <v>152.96</v>
      </c>
      <c r="G119" s="16">
        <v>15.81</v>
      </c>
      <c r="H119" s="17">
        <f t="shared" si="48"/>
        <v>19.440000000000001</v>
      </c>
      <c r="I119" s="18">
        <f t="shared" si="49"/>
        <v>2418.3000000000002</v>
      </c>
      <c r="J119" s="106">
        <f t="shared" si="50"/>
        <v>2973.54</v>
      </c>
      <c r="L119" s="19">
        <f>L117</f>
        <v>38.24</v>
      </c>
      <c r="M119" s="19"/>
    </row>
    <row r="120" spans="1:13" ht="16.5">
      <c r="A120" s="105" t="s">
        <v>387</v>
      </c>
      <c r="B120" s="14" t="s">
        <v>61</v>
      </c>
      <c r="C120" s="14">
        <v>88489</v>
      </c>
      <c r="D120" s="15" t="s">
        <v>283</v>
      </c>
      <c r="E120" s="14" t="s">
        <v>16</v>
      </c>
      <c r="F120" s="16">
        <f t="shared" si="47"/>
        <v>631.96</v>
      </c>
      <c r="G120" s="16">
        <v>13.25</v>
      </c>
      <c r="H120" s="17">
        <f t="shared" si="48"/>
        <v>16.29</v>
      </c>
      <c r="I120" s="18">
        <f t="shared" si="49"/>
        <v>8373.4699999999993</v>
      </c>
      <c r="J120" s="106">
        <f t="shared" si="50"/>
        <v>10294.629999999999</v>
      </c>
      <c r="L120" s="19">
        <f>L118</f>
        <v>157.99</v>
      </c>
      <c r="M120" s="19"/>
    </row>
    <row r="121" spans="1:13" ht="16.5">
      <c r="A121" s="105" t="s">
        <v>388</v>
      </c>
      <c r="B121" s="14" t="s">
        <v>61</v>
      </c>
      <c r="C121" s="14">
        <v>88495</v>
      </c>
      <c r="D121" s="15" t="s">
        <v>284</v>
      </c>
      <c r="E121" s="14" t="s">
        <v>16</v>
      </c>
      <c r="F121" s="16">
        <f t="shared" si="47"/>
        <v>337.03999999999996</v>
      </c>
      <c r="G121" s="16">
        <v>12.64</v>
      </c>
      <c r="H121" s="17">
        <f t="shared" si="48"/>
        <v>15.54</v>
      </c>
      <c r="I121" s="18">
        <f t="shared" si="49"/>
        <v>4260.1899999999996</v>
      </c>
      <c r="J121" s="106">
        <f t="shared" si="50"/>
        <v>5237.6000000000004</v>
      </c>
      <c r="L121" s="19">
        <f>122.5-38.24</f>
        <v>84.259999999999991</v>
      </c>
      <c r="M121" s="19"/>
    </row>
    <row r="122" spans="1:13" ht="16.5">
      <c r="A122" s="105" t="s">
        <v>389</v>
      </c>
      <c r="B122" s="14" t="s">
        <v>61</v>
      </c>
      <c r="C122" s="14">
        <v>88496</v>
      </c>
      <c r="D122" s="15" t="s">
        <v>285</v>
      </c>
      <c r="E122" s="14" t="s">
        <v>16</v>
      </c>
      <c r="F122" s="16">
        <f t="shared" si="47"/>
        <v>152.96</v>
      </c>
      <c r="G122" s="16">
        <v>13.37</v>
      </c>
      <c r="H122" s="17">
        <f t="shared" si="48"/>
        <v>16.440000000000001</v>
      </c>
      <c r="I122" s="18">
        <f t="shared" si="49"/>
        <v>2045.08</v>
      </c>
      <c r="J122" s="106">
        <f t="shared" si="50"/>
        <v>2514.66</v>
      </c>
      <c r="L122" s="19">
        <f>L117</f>
        <v>38.24</v>
      </c>
      <c r="M122" s="19"/>
    </row>
    <row r="123" spans="1:13" ht="16.5">
      <c r="A123" s="105" t="s">
        <v>390</v>
      </c>
      <c r="B123" s="14" t="s">
        <v>61</v>
      </c>
      <c r="C123" s="14">
        <v>102213</v>
      </c>
      <c r="D123" s="15" t="s">
        <v>288</v>
      </c>
      <c r="E123" s="14" t="s">
        <v>16</v>
      </c>
      <c r="F123" s="16">
        <f t="shared" si="47"/>
        <v>40.320000000000007</v>
      </c>
      <c r="G123" s="16">
        <v>22.22</v>
      </c>
      <c r="H123" s="17">
        <f t="shared" si="48"/>
        <v>27.32</v>
      </c>
      <c r="I123" s="18">
        <f t="shared" si="49"/>
        <v>895.91</v>
      </c>
      <c r="J123" s="106">
        <f t="shared" si="50"/>
        <v>1101.54</v>
      </c>
      <c r="L123" s="19">
        <f>0.8*2.1*3*2</f>
        <v>10.080000000000002</v>
      </c>
      <c r="M123" s="19"/>
    </row>
    <row r="124" spans="1:13">
      <c r="A124" s="112">
        <v>2</v>
      </c>
      <c r="B124" s="37"/>
      <c r="C124" s="37"/>
      <c r="D124" s="38" t="s">
        <v>289</v>
      </c>
      <c r="E124" s="37"/>
      <c r="F124" s="37"/>
      <c r="G124" s="37"/>
      <c r="H124" s="37"/>
      <c r="I124" s="39">
        <f>I125+I127+I135+I144+I147+I149+I152</f>
        <v>116234.20000000001</v>
      </c>
      <c r="J124" s="113">
        <f>J125+J127+J135+J144+J147+J149+J152</f>
        <v>142915.01</v>
      </c>
      <c r="L124" s="19"/>
      <c r="M124" s="9"/>
    </row>
    <row r="125" spans="1:13">
      <c r="A125" s="107" t="s">
        <v>290</v>
      </c>
      <c r="B125" s="20"/>
      <c r="C125" s="20"/>
      <c r="D125" s="21" t="s">
        <v>11</v>
      </c>
      <c r="E125" s="20"/>
      <c r="F125" s="20"/>
      <c r="G125" s="20"/>
      <c r="H125" s="20"/>
      <c r="I125" s="22">
        <f>I126</f>
        <v>306.36</v>
      </c>
      <c r="J125" s="108">
        <f>J126</f>
        <v>377.4</v>
      </c>
      <c r="K125" s="86"/>
      <c r="L125" s="19">
        <f t="shared" ref="L125:L130" si="51">M125/4*5</f>
        <v>0</v>
      </c>
      <c r="M125" s="13"/>
    </row>
    <row r="126" spans="1:13">
      <c r="A126" s="105" t="s">
        <v>291</v>
      </c>
      <c r="B126" s="14" t="s">
        <v>13</v>
      </c>
      <c r="C126" s="14" t="s">
        <v>292</v>
      </c>
      <c r="D126" s="15" t="s">
        <v>293</v>
      </c>
      <c r="E126" s="14" t="s">
        <v>47</v>
      </c>
      <c r="F126" s="16">
        <v>222</v>
      </c>
      <c r="G126" s="16">
        <v>1.38</v>
      </c>
      <c r="H126" s="17">
        <f t="shared" ref="H126" si="52">ROUND((G126*$H$5+G126),2)</f>
        <v>1.7</v>
      </c>
      <c r="I126" s="18">
        <f t="shared" ref="I126" si="53">ROUND((F126*G126),2)</f>
        <v>306.36</v>
      </c>
      <c r="J126" s="106">
        <f t="shared" ref="J126" si="54">ROUND((F126*H126),2)</f>
        <v>377.4</v>
      </c>
      <c r="L126" s="19">
        <f t="shared" si="51"/>
        <v>327.8125</v>
      </c>
      <c r="M126" s="19">
        <f>(31.69+47.82+29.61+30+30+30+30+48.13)-15</f>
        <v>262.25</v>
      </c>
    </row>
    <row r="127" spans="1:13">
      <c r="A127" s="107" t="s">
        <v>294</v>
      </c>
      <c r="B127" s="20"/>
      <c r="C127" s="20"/>
      <c r="D127" s="21" t="s">
        <v>18</v>
      </c>
      <c r="E127" s="20"/>
      <c r="F127" s="20"/>
      <c r="G127" s="20"/>
      <c r="H127" s="20"/>
      <c r="I127" s="22">
        <f>SUM(I128:I134)</f>
        <v>23257.069999999996</v>
      </c>
      <c r="J127" s="108">
        <f>SUM(J128:J134)</f>
        <v>28595.510000000002</v>
      </c>
      <c r="K127" s="86"/>
      <c r="L127" s="19">
        <f t="shared" si="51"/>
        <v>0</v>
      </c>
      <c r="M127" s="13"/>
    </row>
    <row r="128" spans="1:13">
      <c r="A128" s="105" t="s">
        <v>295</v>
      </c>
      <c r="B128" s="14" t="s">
        <v>13</v>
      </c>
      <c r="C128" s="14" t="s">
        <v>296</v>
      </c>
      <c r="D128" s="15" t="s">
        <v>297</v>
      </c>
      <c r="E128" s="14" t="s">
        <v>47</v>
      </c>
      <c r="F128" s="16">
        <f>(12+11+14+14+4+11+29)*2</f>
        <v>190</v>
      </c>
      <c r="G128" s="16">
        <v>57.37</v>
      </c>
      <c r="H128" s="17">
        <f t="shared" ref="H128:H134" si="55">ROUND((G128*$H$5+G128),2)</f>
        <v>70.540000000000006</v>
      </c>
      <c r="I128" s="18">
        <f t="shared" ref="I128:I134" si="56">ROUND((F128*G128),2)</f>
        <v>10900.3</v>
      </c>
      <c r="J128" s="106">
        <f t="shared" ref="J128:J134" si="57">ROUND((F128*H128),2)</f>
        <v>13402.6</v>
      </c>
      <c r="K128" s="86"/>
      <c r="L128" s="19">
        <f t="shared" si="51"/>
        <v>342.5</v>
      </c>
      <c r="M128" s="19">
        <f>((17*6)+(4*5)+(3*5))*2</f>
        <v>274</v>
      </c>
    </row>
    <row r="129" spans="1:17" ht="16.5">
      <c r="A129" s="105" t="s">
        <v>298</v>
      </c>
      <c r="B129" s="14" t="s">
        <v>13</v>
      </c>
      <c r="C129" s="14" t="s">
        <v>20</v>
      </c>
      <c r="D129" s="15" t="s">
        <v>21</v>
      </c>
      <c r="E129" s="14" t="s">
        <v>22</v>
      </c>
      <c r="F129" s="16">
        <f>F126*0.2*0.4</f>
        <v>17.760000000000002</v>
      </c>
      <c r="G129" s="16">
        <v>50.61</v>
      </c>
      <c r="H129" s="17">
        <f t="shared" si="55"/>
        <v>62.23</v>
      </c>
      <c r="I129" s="18">
        <f t="shared" si="56"/>
        <v>898.83</v>
      </c>
      <c r="J129" s="106">
        <f t="shared" si="57"/>
        <v>1105.2</v>
      </c>
      <c r="L129" s="19">
        <f t="shared" si="51"/>
        <v>19.668749999999999</v>
      </c>
      <c r="M129" s="19">
        <f>M126*0.2*0.3</f>
        <v>15.734999999999999</v>
      </c>
    </row>
    <row r="130" spans="1:17">
      <c r="A130" s="105" t="s">
        <v>299</v>
      </c>
      <c r="B130" s="14" t="s">
        <v>13</v>
      </c>
      <c r="C130" s="14" t="s">
        <v>34</v>
      </c>
      <c r="D130" s="15" t="s">
        <v>35</v>
      </c>
      <c r="E130" s="14" t="s">
        <v>22</v>
      </c>
      <c r="F130" s="16">
        <f>F126*0.2*0.05</f>
        <v>2.2200000000000002</v>
      </c>
      <c r="G130" s="16">
        <v>169.39</v>
      </c>
      <c r="H130" s="17">
        <f t="shared" si="55"/>
        <v>208.28</v>
      </c>
      <c r="I130" s="18">
        <f t="shared" si="56"/>
        <v>376.05</v>
      </c>
      <c r="J130" s="106">
        <f t="shared" si="57"/>
        <v>462.38</v>
      </c>
      <c r="L130" s="19">
        <f t="shared" si="51"/>
        <v>3.2781250000000006</v>
      </c>
      <c r="M130" s="19">
        <f>M126*0.2*0.05</f>
        <v>2.6225000000000005</v>
      </c>
    </row>
    <row r="131" spans="1:17" ht="24.75">
      <c r="A131" s="105" t="s">
        <v>300</v>
      </c>
      <c r="B131" s="14" t="s">
        <v>61</v>
      </c>
      <c r="C131" s="14">
        <v>94963</v>
      </c>
      <c r="D131" s="15" t="s">
        <v>101</v>
      </c>
      <c r="E131" s="14" t="s">
        <v>22</v>
      </c>
      <c r="F131" s="16">
        <f>F126*0.2*0.3</f>
        <v>13.320000000000002</v>
      </c>
      <c r="G131" s="16">
        <v>341.79</v>
      </c>
      <c r="H131" s="17">
        <f t="shared" si="55"/>
        <v>420.26</v>
      </c>
      <c r="I131" s="18">
        <f t="shared" si="56"/>
        <v>4552.6400000000003</v>
      </c>
      <c r="J131" s="106">
        <f t="shared" si="57"/>
        <v>5597.86</v>
      </c>
      <c r="L131" s="19">
        <v>19.670000000000002</v>
      </c>
      <c r="M131" s="19"/>
    </row>
    <row r="132" spans="1:17">
      <c r="A132" s="105" t="s">
        <v>301</v>
      </c>
      <c r="B132" s="14" t="s">
        <v>13</v>
      </c>
      <c r="C132" s="14" t="s">
        <v>302</v>
      </c>
      <c r="D132" s="15" t="s">
        <v>303</v>
      </c>
      <c r="E132" s="14" t="s">
        <v>22</v>
      </c>
      <c r="F132" s="16">
        <f>F131</f>
        <v>13.320000000000002</v>
      </c>
      <c r="G132" s="16">
        <v>142.28</v>
      </c>
      <c r="H132" s="17">
        <f t="shared" si="55"/>
        <v>174.95</v>
      </c>
      <c r="I132" s="18">
        <f t="shared" si="56"/>
        <v>1895.17</v>
      </c>
      <c r="J132" s="106">
        <f t="shared" si="57"/>
        <v>2330.33</v>
      </c>
      <c r="L132" s="19">
        <v>19.670000000000002</v>
      </c>
      <c r="M132" s="19" t="e">
        <f>#REF!</f>
        <v>#REF!</v>
      </c>
    </row>
    <row r="133" spans="1:17">
      <c r="A133" s="105" t="s">
        <v>304</v>
      </c>
      <c r="B133" s="14" t="s">
        <v>13</v>
      </c>
      <c r="C133" s="14" t="s">
        <v>24</v>
      </c>
      <c r="D133" s="15" t="s">
        <v>25</v>
      </c>
      <c r="E133" s="14" t="s">
        <v>26</v>
      </c>
      <c r="F133" s="88">
        <f>347.2</f>
        <v>347.2</v>
      </c>
      <c r="G133" s="16">
        <v>10.94</v>
      </c>
      <c r="H133" s="17">
        <f t="shared" si="55"/>
        <v>13.45</v>
      </c>
      <c r="I133" s="18">
        <f t="shared" si="56"/>
        <v>3798.37</v>
      </c>
      <c r="J133" s="106">
        <f t="shared" si="57"/>
        <v>4669.84</v>
      </c>
      <c r="L133" s="19">
        <f>M133/4*5</f>
        <v>809.04124999999999</v>
      </c>
      <c r="M133" s="40">
        <f>M126*4*0.617</f>
        <v>647.23299999999995</v>
      </c>
    </row>
    <row r="134" spans="1:17">
      <c r="A134" s="105" t="s">
        <v>305</v>
      </c>
      <c r="B134" s="14" t="s">
        <v>13</v>
      </c>
      <c r="C134" s="14" t="s">
        <v>28</v>
      </c>
      <c r="D134" s="15" t="s">
        <v>29</v>
      </c>
      <c r="E134" s="14" t="s">
        <v>26</v>
      </c>
      <c r="F134" s="88">
        <v>68.67</v>
      </c>
      <c r="G134" s="16">
        <v>12.17</v>
      </c>
      <c r="H134" s="17">
        <f t="shared" si="55"/>
        <v>14.96</v>
      </c>
      <c r="I134" s="18">
        <f t="shared" si="56"/>
        <v>835.71</v>
      </c>
      <c r="J134" s="106">
        <f t="shared" si="57"/>
        <v>1027.3</v>
      </c>
      <c r="L134" s="19">
        <f>M134/4*5</f>
        <v>187.69800000000001</v>
      </c>
      <c r="M134" s="40">
        <f>1312*(1.05)*0.109</f>
        <v>150.1584</v>
      </c>
    </row>
    <row r="135" spans="1:17">
      <c r="A135" s="107" t="s">
        <v>306</v>
      </c>
      <c r="B135" s="20"/>
      <c r="C135" s="20"/>
      <c r="D135" s="21" t="s">
        <v>49</v>
      </c>
      <c r="E135" s="20"/>
      <c r="F135" s="20"/>
      <c r="G135" s="20"/>
      <c r="H135" s="20"/>
      <c r="I135" s="22">
        <f>SUM(I136:I143)</f>
        <v>49413.01</v>
      </c>
      <c r="J135" s="108">
        <f>SUM(J136:J143)</f>
        <v>60754.979999999996</v>
      </c>
      <c r="L135" s="19">
        <f>M135/4*5</f>
        <v>0</v>
      </c>
      <c r="M135" s="13"/>
    </row>
    <row r="136" spans="1:17" ht="24.75">
      <c r="A136" s="105" t="s">
        <v>307</v>
      </c>
      <c r="B136" s="14" t="s">
        <v>61</v>
      </c>
      <c r="C136" s="14">
        <v>94963</v>
      </c>
      <c r="D136" s="15" t="s">
        <v>101</v>
      </c>
      <c r="E136" s="14" t="s">
        <v>22</v>
      </c>
      <c r="F136" s="88">
        <f>(95*2*0.1*0.15)+(206*0.07*0.18*2)</f>
        <v>8.0411999999999999</v>
      </c>
      <c r="G136" s="16">
        <v>341.79</v>
      </c>
      <c r="H136" s="17">
        <f t="shared" ref="H136:H143" si="58">ROUND((G136*$H$5+G136),2)</f>
        <v>420.26</v>
      </c>
      <c r="I136" s="18">
        <f t="shared" ref="I136:I143" si="59">ROUND((F136*G136),2)</f>
        <v>2748.4</v>
      </c>
      <c r="J136" s="106">
        <f t="shared" ref="J136:J143" si="60">ROUND((F136*H136),2)</f>
        <v>3379.39</v>
      </c>
      <c r="L136" s="19">
        <v>17.13</v>
      </c>
      <c r="M136" s="19"/>
    </row>
    <row r="137" spans="1:17">
      <c r="A137" s="105" t="s">
        <v>308</v>
      </c>
      <c r="B137" s="14" t="s">
        <v>13</v>
      </c>
      <c r="C137" s="14" t="s">
        <v>53</v>
      </c>
      <c r="D137" s="15" t="s">
        <v>54</v>
      </c>
      <c r="E137" s="14" t="s">
        <v>22</v>
      </c>
      <c r="F137" s="88">
        <f>F136</f>
        <v>8.0411999999999999</v>
      </c>
      <c r="G137" s="16">
        <v>98.28</v>
      </c>
      <c r="H137" s="17">
        <f t="shared" si="58"/>
        <v>120.85</v>
      </c>
      <c r="I137" s="18">
        <f t="shared" si="59"/>
        <v>790.29</v>
      </c>
      <c r="J137" s="106">
        <f t="shared" si="60"/>
        <v>971.78</v>
      </c>
      <c r="L137" s="19">
        <v>17.13</v>
      </c>
      <c r="M137" s="19" t="e">
        <f>#REF!</f>
        <v>#REF!</v>
      </c>
    </row>
    <row r="138" spans="1:17">
      <c r="A138" s="105" t="s">
        <v>309</v>
      </c>
      <c r="B138" s="14" t="s">
        <v>13</v>
      </c>
      <c r="C138" s="14" t="s">
        <v>24</v>
      </c>
      <c r="D138" s="15" t="s">
        <v>25</v>
      </c>
      <c r="E138" s="14" t="s">
        <v>26</v>
      </c>
      <c r="F138" s="88">
        <f>327.36+347.2</f>
        <v>674.56</v>
      </c>
      <c r="G138" s="16">
        <v>10.94</v>
      </c>
      <c r="H138" s="17">
        <f t="shared" si="58"/>
        <v>13.45</v>
      </c>
      <c r="I138" s="18">
        <f t="shared" si="59"/>
        <v>7379.69</v>
      </c>
      <c r="J138" s="106">
        <f t="shared" si="60"/>
        <v>9072.83</v>
      </c>
      <c r="L138" s="19">
        <f>M138/4*5</f>
        <v>1574.5562500000001</v>
      </c>
      <c r="M138" s="40">
        <f>((((17*6)+(4*5)+(3*5))*2.5)*4*0.617)+(262.25*4*0.395)</f>
        <v>1259.645</v>
      </c>
    </row>
    <row r="139" spans="1:17">
      <c r="A139" s="105" t="s">
        <v>310</v>
      </c>
      <c r="B139" s="14" t="s">
        <v>13</v>
      </c>
      <c r="C139" s="14" t="s">
        <v>28</v>
      </c>
      <c r="D139" s="15" t="s">
        <v>29</v>
      </c>
      <c r="E139" s="14" t="s">
        <v>26</v>
      </c>
      <c r="F139" s="88">
        <f>258.98</f>
        <v>258.98</v>
      </c>
      <c r="G139" s="16">
        <v>12.17</v>
      </c>
      <c r="H139" s="17">
        <f t="shared" si="58"/>
        <v>14.96</v>
      </c>
      <c r="I139" s="18">
        <f t="shared" si="59"/>
        <v>3151.79</v>
      </c>
      <c r="J139" s="106">
        <f t="shared" si="60"/>
        <v>3874.34</v>
      </c>
      <c r="L139" s="19">
        <f>M139/4*5</f>
        <v>151.70756249999999</v>
      </c>
      <c r="M139" s="40">
        <f>1713*0.65*0.109</f>
        <v>121.36605</v>
      </c>
    </row>
    <row r="140" spans="1:17" ht="33">
      <c r="A140" s="105" t="s">
        <v>311</v>
      </c>
      <c r="B140" s="14" t="s">
        <v>61</v>
      </c>
      <c r="C140" s="23">
        <v>92439</v>
      </c>
      <c r="D140" s="15" t="s">
        <v>312</v>
      </c>
      <c r="E140" s="14" t="s">
        <v>16</v>
      </c>
      <c r="F140" s="88">
        <f>72*0.3*3</f>
        <v>64.8</v>
      </c>
      <c r="G140" s="28">
        <v>53.98</v>
      </c>
      <c r="H140" s="17">
        <f t="shared" si="58"/>
        <v>66.37</v>
      </c>
      <c r="I140" s="18">
        <f t="shared" si="59"/>
        <v>3497.9</v>
      </c>
      <c r="J140" s="106">
        <f t="shared" si="60"/>
        <v>4300.78</v>
      </c>
      <c r="L140" s="19">
        <v>51.25</v>
      </c>
      <c r="M140" s="41"/>
    </row>
    <row r="141" spans="1:17" ht="16.5">
      <c r="A141" s="105" t="s">
        <v>313</v>
      </c>
      <c r="B141" s="14" t="s">
        <v>13</v>
      </c>
      <c r="C141" s="14" t="s">
        <v>59</v>
      </c>
      <c r="D141" s="15" t="s">
        <v>60</v>
      </c>
      <c r="E141" s="14" t="s">
        <v>16</v>
      </c>
      <c r="F141" s="16">
        <f>F126*0.4</f>
        <v>88.800000000000011</v>
      </c>
      <c r="G141" s="16">
        <v>66.47</v>
      </c>
      <c r="H141" s="17">
        <f t="shared" si="58"/>
        <v>81.73</v>
      </c>
      <c r="I141" s="18">
        <f t="shared" si="59"/>
        <v>5902.54</v>
      </c>
      <c r="J141" s="106">
        <f t="shared" si="60"/>
        <v>7257.62</v>
      </c>
      <c r="L141" s="19">
        <f>M141/4*5</f>
        <v>137</v>
      </c>
      <c r="M141" s="19">
        <f>M128*0.4</f>
        <v>109.60000000000001</v>
      </c>
    </row>
    <row r="142" spans="1:17" ht="16.5">
      <c r="A142" s="105" t="s">
        <v>314</v>
      </c>
      <c r="B142" s="14" t="s">
        <v>13</v>
      </c>
      <c r="C142" s="14" t="s">
        <v>315</v>
      </c>
      <c r="D142" s="15" t="s">
        <v>316</v>
      </c>
      <c r="E142" s="14" t="s">
        <v>16</v>
      </c>
      <c r="F142" s="16">
        <f>F126*0.2</f>
        <v>44.400000000000006</v>
      </c>
      <c r="G142" s="16">
        <v>93.6</v>
      </c>
      <c r="H142" s="17">
        <f t="shared" si="58"/>
        <v>115.09</v>
      </c>
      <c r="I142" s="18">
        <f t="shared" si="59"/>
        <v>4155.84</v>
      </c>
      <c r="J142" s="106">
        <f t="shared" si="60"/>
        <v>5110</v>
      </c>
      <c r="L142" s="19">
        <f>M142/4*5</f>
        <v>68.5</v>
      </c>
      <c r="M142" s="19">
        <f>M128*0.2</f>
        <v>54.800000000000004</v>
      </c>
      <c r="Q142" s="42"/>
    </row>
    <row r="143" spans="1:17" ht="33">
      <c r="A143" s="105" t="s">
        <v>317</v>
      </c>
      <c r="B143" s="14" t="s">
        <v>61</v>
      </c>
      <c r="C143" s="14">
        <v>103322</v>
      </c>
      <c r="D143" s="15" t="s">
        <v>62</v>
      </c>
      <c r="E143" s="14" t="s">
        <v>16</v>
      </c>
      <c r="F143" s="16">
        <f>(F126-16)*2</f>
        <v>412</v>
      </c>
      <c r="G143" s="17">
        <v>52.88</v>
      </c>
      <c r="H143" s="17">
        <f t="shared" si="58"/>
        <v>65.02</v>
      </c>
      <c r="I143" s="18">
        <f t="shared" si="59"/>
        <v>21786.560000000001</v>
      </c>
      <c r="J143" s="106">
        <f t="shared" si="60"/>
        <v>26788.240000000002</v>
      </c>
      <c r="L143" s="19">
        <v>650.75</v>
      </c>
      <c r="M143" s="19"/>
      <c r="Q143" s="42"/>
    </row>
    <row r="144" spans="1:17">
      <c r="A144" s="107" t="s">
        <v>318</v>
      </c>
      <c r="B144" s="20"/>
      <c r="C144" s="20"/>
      <c r="D144" s="21" t="s">
        <v>71</v>
      </c>
      <c r="E144" s="20"/>
      <c r="F144" s="20"/>
      <c r="G144" s="20"/>
      <c r="H144" s="82"/>
      <c r="I144" s="43">
        <f>SUM(I145:I146)</f>
        <v>5937.68</v>
      </c>
      <c r="J144" s="114">
        <f>SUM(J145:J146)</f>
        <v>7298.8</v>
      </c>
      <c r="K144" s="44"/>
      <c r="L144" s="19">
        <f>M144/4*5</f>
        <v>0</v>
      </c>
      <c r="M144" s="13"/>
    </row>
    <row r="145" spans="1:15" ht="33">
      <c r="A145" s="105" t="s">
        <v>319</v>
      </c>
      <c r="B145" s="14" t="s">
        <v>61</v>
      </c>
      <c r="C145" s="14">
        <v>87897</v>
      </c>
      <c r="D145" s="27" t="s">
        <v>320</v>
      </c>
      <c r="E145" s="14" t="s">
        <v>16</v>
      </c>
      <c r="F145" s="16">
        <f>F143*2</f>
        <v>824</v>
      </c>
      <c r="G145" s="16">
        <v>4.63</v>
      </c>
      <c r="H145" s="17">
        <f t="shared" ref="H145:H146" si="61">ROUND((G145*$H$5+G145),2)</f>
        <v>5.69</v>
      </c>
      <c r="I145" s="18">
        <f t="shared" ref="I145:I146" si="62">ROUND((F145*G145),2)</f>
        <v>3815.12</v>
      </c>
      <c r="J145" s="106">
        <f t="shared" ref="J145:J146" si="63">ROUND((F145*H145),2)</f>
        <v>4688.5600000000004</v>
      </c>
      <c r="K145" s="45"/>
      <c r="L145" s="19">
        <v>1712.5</v>
      </c>
      <c r="M145" s="46"/>
    </row>
    <row r="146" spans="1:15" ht="41.25">
      <c r="A146" s="105" t="s">
        <v>321</v>
      </c>
      <c r="B146" s="14" t="s">
        <v>61</v>
      </c>
      <c r="C146" s="14">
        <v>87547</v>
      </c>
      <c r="D146" s="15" t="s">
        <v>73</v>
      </c>
      <c r="E146" s="14" t="s">
        <v>16</v>
      </c>
      <c r="F146" s="16">
        <f>6*2*4*2</f>
        <v>96</v>
      </c>
      <c r="G146" s="16">
        <v>22.11</v>
      </c>
      <c r="H146" s="17">
        <f t="shared" si="61"/>
        <v>27.19</v>
      </c>
      <c r="I146" s="18">
        <f t="shared" si="62"/>
        <v>2122.56</v>
      </c>
      <c r="J146" s="106">
        <f t="shared" si="63"/>
        <v>2610.2399999999998</v>
      </c>
      <c r="K146" s="45"/>
      <c r="L146" s="19">
        <v>1712.5</v>
      </c>
      <c r="M146" s="46"/>
      <c r="N146">
        <f>6*3*2*2</f>
        <v>72</v>
      </c>
      <c r="O146" s="86">
        <f>H146*N146</f>
        <v>1957.68</v>
      </c>
    </row>
    <row r="147" spans="1:15">
      <c r="A147" s="107" t="s">
        <v>322</v>
      </c>
      <c r="B147" s="20"/>
      <c r="C147" s="20"/>
      <c r="D147" s="21" t="s">
        <v>323</v>
      </c>
      <c r="E147" s="20"/>
      <c r="F147" s="20"/>
      <c r="G147" s="34"/>
      <c r="H147" s="83"/>
      <c r="I147" s="43">
        <f>I148</f>
        <v>31058.240000000002</v>
      </c>
      <c r="J147" s="114">
        <f>J148</f>
        <v>38189.120000000003</v>
      </c>
      <c r="K147" s="44"/>
      <c r="L147" s="19">
        <f>M147/4*5</f>
        <v>0</v>
      </c>
      <c r="M147" s="13"/>
    </row>
    <row r="148" spans="1:15">
      <c r="A148" s="105" t="s">
        <v>324</v>
      </c>
      <c r="B148" s="14" t="s">
        <v>13</v>
      </c>
      <c r="C148" s="14" t="s">
        <v>325</v>
      </c>
      <c r="D148" s="15" t="s">
        <v>326</v>
      </c>
      <c r="E148" s="14" t="s">
        <v>16</v>
      </c>
      <c r="F148" s="16">
        <f>(4*2)*4</f>
        <v>32</v>
      </c>
      <c r="G148" s="28">
        <v>970.57</v>
      </c>
      <c r="H148" s="17">
        <f t="shared" ref="H148" si="64">ROUND((G148*$H$5+G148),2)</f>
        <v>1193.4100000000001</v>
      </c>
      <c r="I148" s="18">
        <f t="shared" ref="I148" si="65">ROUND((F148*G148),2)</f>
        <v>31058.240000000002</v>
      </c>
      <c r="J148" s="106">
        <f t="shared" ref="J148" si="66">ROUND((F148*H148),2)</f>
        <v>38189.120000000003</v>
      </c>
      <c r="K148" s="47"/>
      <c r="L148" s="19">
        <f>4*3*2</f>
        <v>24</v>
      </c>
      <c r="M148" s="48">
        <f>3*2.2</f>
        <v>6.6000000000000005</v>
      </c>
    </row>
    <row r="149" spans="1:15">
      <c r="A149" s="107" t="s">
        <v>327</v>
      </c>
      <c r="B149" s="20"/>
      <c r="C149" s="20"/>
      <c r="D149" s="21" t="s">
        <v>279</v>
      </c>
      <c r="E149" s="20"/>
      <c r="F149" s="20"/>
      <c r="G149" s="34"/>
      <c r="H149" s="83"/>
      <c r="I149" s="43">
        <f>SUM(I150:I151)</f>
        <v>4115.5200000000004</v>
      </c>
      <c r="J149" s="114">
        <f>SUM(J150:J151)</f>
        <v>5060.16</v>
      </c>
      <c r="K149" s="44"/>
      <c r="L149" s="19">
        <f>M149/4*5</f>
        <v>0</v>
      </c>
      <c r="M149" s="13"/>
    </row>
    <row r="150" spans="1:15" ht="16.5">
      <c r="A150" s="105" t="s">
        <v>328</v>
      </c>
      <c r="B150" s="14" t="s">
        <v>61</v>
      </c>
      <c r="C150" s="14">
        <v>88489</v>
      </c>
      <c r="D150" s="15" t="s">
        <v>283</v>
      </c>
      <c r="E150" s="14" t="s">
        <v>16</v>
      </c>
      <c r="F150" s="16">
        <f>F146</f>
        <v>96</v>
      </c>
      <c r="G150" s="16">
        <v>13.25</v>
      </c>
      <c r="H150" s="17">
        <f t="shared" ref="H150:H151" si="67">ROUND((G150*$H$5+G150),2)</f>
        <v>16.29</v>
      </c>
      <c r="I150" s="18">
        <f t="shared" ref="I150:I151" si="68">ROUND((F150*G150),2)</f>
        <v>1272</v>
      </c>
      <c r="J150" s="106">
        <f t="shared" ref="J150:J151" si="69">ROUND((F150*H150),2)</f>
        <v>1563.84</v>
      </c>
      <c r="K150" s="45"/>
      <c r="L150" s="19">
        <v>709.3</v>
      </c>
      <c r="M150" s="49"/>
    </row>
    <row r="151" spans="1:15">
      <c r="A151" s="105" t="s">
        <v>329</v>
      </c>
      <c r="B151" s="14" t="s">
        <v>13</v>
      </c>
      <c r="C151" s="14" t="s">
        <v>286</v>
      </c>
      <c r="D151" s="15" t="s">
        <v>287</v>
      </c>
      <c r="E151" s="14" t="s">
        <v>16</v>
      </c>
      <c r="F151" s="16">
        <f>F148*2</f>
        <v>64</v>
      </c>
      <c r="G151" s="17">
        <v>44.43</v>
      </c>
      <c r="H151" s="17">
        <f t="shared" si="67"/>
        <v>54.63</v>
      </c>
      <c r="I151" s="18">
        <f t="shared" si="68"/>
        <v>2843.52</v>
      </c>
      <c r="J151" s="106">
        <f t="shared" si="69"/>
        <v>3496.32</v>
      </c>
      <c r="K151" s="45"/>
      <c r="L151" s="19">
        <f t="shared" ref="L151:L156" si="70">M151/4*5</f>
        <v>68.2</v>
      </c>
      <c r="M151" s="49">
        <v>54.56</v>
      </c>
    </row>
    <row r="152" spans="1:15">
      <c r="A152" s="107" t="s">
        <v>330</v>
      </c>
      <c r="B152" s="20"/>
      <c r="C152" s="20"/>
      <c r="D152" s="21" t="s">
        <v>331</v>
      </c>
      <c r="E152" s="20"/>
      <c r="F152" s="20"/>
      <c r="G152" s="34"/>
      <c r="H152" s="83"/>
      <c r="I152" s="43">
        <f>I153</f>
        <v>2146.3200000000002</v>
      </c>
      <c r="J152" s="114">
        <f>J153</f>
        <v>2639.04</v>
      </c>
      <c r="K152" s="44"/>
      <c r="L152" s="19">
        <f t="shared" si="70"/>
        <v>0</v>
      </c>
      <c r="M152" s="13"/>
    </row>
    <row r="153" spans="1:15">
      <c r="A153" s="105" t="s">
        <v>332</v>
      </c>
      <c r="B153" s="14" t="s">
        <v>13</v>
      </c>
      <c r="C153" s="14" t="s">
        <v>333</v>
      </c>
      <c r="D153" s="15" t="s">
        <v>334</v>
      </c>
      <c r="E153" s="14" t="s">
        <v>47</v>
      </c>
      <c r="F153" s="16">
        <f>6*4</f>
        <v>24</v>
      </c>
      <c r="G153" s="17">
        <v>89.43</v>
      </c>
      <c r="H153" s="17">
        <f t="shared" ref="H153" si="71">ROUND((G153*$H$5+G153),2)</f>
        <v>109.96</v>
      </c>
      <c r="I153" s="18">
        <f t="shared" ref="I153" si="72">ROUND((F153*G153),2)</f>
        <v>2146.3200000000002</v>
      </c>
      <c r="J153" s="106">
        <f t="shared" ref="J153" si="73">ROUND((F153*H153),2)</f>
        <v>2639.04</v>
      </c>
      <c r="K153" s="45"/>
      <c r="L153" s="19">
        <f t="shared" si="70"/>
        <v>342.5</v>
      </c>
      <c r="M153" s="46">
        <f>M128</f>
        <v>274</v>
      </c>
    </row>
    <row r="154" spans="1:15">
      <c r="A154" s="112">
        <v>3</v>
      </c>
      <c r="B154" s="37"/>
      <c r="C154" s="37"/>
      <c r="D154" s="38" t="s">
        <v>398</v>
      </c>
      <c r="E154" s="37"/>
      <c r="F154" s="37"/>
      <c r="G154" s="50"/>
      <c r="H154" s="84"/>
      <c r="I154" s="51">
        <f>SUM(I155:I156)</f>
        <v>10032.33</v>
      </c>
      <c r="J154" s="115">
        <f>SUM(J155:J156)</f>
        <v>12335.09</v>
      </c>
      <c r="K154" s="52"/>
      <c r="L154" s="19">
        <f t="shared" si="70"/>
        <v>0</v>
      </c>
      <c r="M154" s="53"/>
    </row>
    <row r="155" spans="1:15" ht="16.5">
      <c r="A155" s="105" t="s">
        <v>335</v>
      </c>
      <c r="B155" s="14" t="s">
        <v>13</v>
      </c>
      <c r="C155" s="14" t="s">
        <v>336</v>
      </c>
      <c r="D155" s="15" t="s">
        <v>337</v>
      </c>
      <c r="E155" s="14" t="s">
        <v>16</v>
      </c>
      <c r="F155" s="16">
        <f>2*46+(28.37*4)</f>
        <v>205.48000000000002</v>
      </c>
      <c r="G155" s="17">
        <v>3.76</v>
      </c>
      <c r="H155" s="17">
        <f t="shared" ref="H155:H156" si="74">ROUND((G155*$H$5+G155),2)</f>
        <v>4.62</v>
      </c>
      <c r="I155" s="18">
        <f t="shared" ref="I155:I156" si="75">ROUND((F155*G155),2)</f>
        <v>772.6</v>
      </c>
      <c r="J155" s="106">
        <f t="shared" ref="J155:J156" si="76">ROUND((F155*H155),2)</f>
        <v>949.32</v>
      </c>
      <c r="K155" s="45"/>
      <c r="L155" s="19">
        <f t="shared" si="70"/>
        <v>120.325</v>
      </c>
      <c r="M155" s="49">
        <f>48.13*2</f>
        <v>96.26</v>
      </c>
    </row>
    <row r="156" spans="1:15" ht="33">
      <c r="A156" s="105" t="s">
        <v>338</v>
      </c>
      <c r="B156" s="14" t="s">
        <v>61</v>
      </c>
      <c r="C156" s="23">
        <v>94991</v>
      </c>
      <c r="D156" s="15" t="s">
        <v>339</v>
      </c>
      <c r="E156" s="14" t="s">
        <v>22</v>
      </c>
      <c r="F156" s="16">
        <f>F155*0.07</f>
        <v>14.383600000000003</v>
      </c>
      <c r="G156" s="33">
        <v>643.77</v>
      </c>
      <c r="H156" s="17">
        <f t="shared" si="74"/>
        <v>791.58</v>
      </c>
      <c r="I156" s="18">
        <f t="shared" si="75"/>
        <v>9259.73</v>
      </c>
      <c r="J156" s="106">
        <f t="shared" si="76"/>
        <v>11385.77</v>
      </c>
      <c r="K156" s="54"/>
      <c r="L156" s="19">
        <f t="shared" si="70"/>
        <v>8.4227500000000006</v>
      </c>
      <c r="M156" s="55">
        <f>M155*0.07</f>
        <v>6.7382000000000009</v>
      </c>
    </row>
    <row r="157" spans="1:15">
      <c r="A157" s="116"/>
      <c r="B157" s="89"/>
      <c r="C157" s="175"/>
      <c r="D157" s="175"/>
      <c r="E157" s="89"/>
      <c r="F157" s="89"/>
      <c r="G157" s="89"/>
      <c r="H157" s="89"/>
      <c r="I157" s="56"/>
      <c r="J157" s="117"/>
      <c r="K157" s="44"/>
      <c r="L157" s="19"/>
      <c r="M157" s="57"/>
    </row>
    <row r="158" spans="1:15" ht="15.6" customHeight="1">
      <c r="A158" s="187" t="s">
        <v>340</v>
      </c>
      <c r="B158" s="188"/>
      <c r="C158" s="188"/>
      <c r="D158" s="58"/>
      <c r="E158" s="90"/>
      <c r="F158" s="189"/>
      <c r="G158" s="189">
        <v>44.12</v>
      </c>
      <c r="H158" s="90"/>
      <c r="I158" s="59">
        <f>SUM(I154,I124,I5)</f>
        <v>416117.81</v>
      </c>
      <c r="J158" s="118">
        <f>SUM(J154,J124,J5)</f>
        <v>511643.04000000004</v>
      </c>
      <c r="K158" s="60"/>
      <c r="L158" s="61"/>
      <c r="M158" s="176"/>
      <c r="N158" s="176"/>
    </row>
    <row r="159" spans="1:15">
      <c r="A159" s="116"/>
      <c r="B159" s="89"/>
      <c r="C159" s="89"/>
      <c r="D159" s="62"/>
      <c r="E159" s="89"/>
      <c r="F159" s="89"/>
      <c r="G159" s="89"/>
      <c r="H159" s="89"/>
      <c r="I159" s="56"/>
      <c r="J159" s="117"/>
      <c r="K159" s="63"/>
      <c r="L159" s="80"/>
      <c r="M159" s="57"/>
    </row>
    <row r="160" spans="1:15" ht="26.45" customHeight="1">
      <c r="A160" s="116"/>
      <c r="B160" s="89"/>
      <c r="C160" s="89"/>
      <c r="D160" s="62"/>
      <c r="E160" s="89"/>
      <c r="F160" s="89"/>
      <c r="G160" s="89"/>
      <c r="H160" s="190" t="s">
        <v>386</v>
      </c>
      <c r="I160" s="190"/>
      <c r="J160" s="191"/>
      <c r="K160" s="62"/>
      <c r="L160" s="80"/>
      <c r="M160" s="57"/>
    </row>
    <row r="161" spans="1:14" ht="30.4" customHeight="1">
      <c r="A161" s="177"/>
      <c r="B161" s="178"/>
      <c r="C161" s="178"/>
      <c r="D161" s="64"/>
      <c r="E161" s="64"/>
      <c r="F161" s="65"/>
      <c r="G161" s="65"/>
      <c r="H161" s="65"/>
      <c r="I161" s="66"/>
      <c r="J161" s="119"/>
      <c r="K161" s="67"/>
      <c r="L161" s="67"/>
      <c r="M161" s="67"/>
    </row>
    <row r="162" spans="1:14" ht="9" customHeight="1">
      <c r="A162" s="179" t="s">
        <v>395</v>
      </c>
      <c r="B162" s="180"/>
      <c r="C162" s="180"/>
      <c r="D162" s="64"/>
      <c r="E162" s="64"/>
      <c r="F162" s="183" t="s">
        <v>341</v>
      </c>
      <c r="G162" s="183"/>
      <c r="H162" s="183"/>
      <c r="I162" s="183"/>
      <c r="J162" s="120"/>
      <c r="K162" s="67"/>
      <c r="L162" s="67"/>
      <c r="M162" s="67"/>
    </row>
    <row r="163" spans="1:14" ht="7.35" customHeight="1" thickBot="1">
      <c r="A163" s="181"/>
      <c r="B163" s="182"/>
      <c r="C163" s="182"/>
      <c r="D163" s="184"/>
      <c r="E163" s="184"/>
      <c r="F163" s="185" t="s">
        <v>357</v>
      </c>
      <c r="G163" s="185"/>
      <c r="H163" s="185"/>
      <c r="I163" s="185"/>
      <c r="J163" s="121"/>
      <c r="K163" s="81"/>
      <c r="L163" s="81"/>
      <c r="M163" s="186"/>
      <c r="N163" s="186"/>
    </row>
  </sheetData>
  <mergeCells count="15">
    <mergeCell ref="M158:N158"/>
    <mergeCell ref="A161:C161"/>
    <mergeCell ref="A162:C163"/>
    <mergeCell ref="F162:I162"/>
    <mergeCell ref="D163:E163"/>
    <mergeCell ref="F163:I163"/>
    <mergeCell ref="M163:N163"/>
    <mergeCell ref="A158:C158"/>
    <mergeCell ref="F158:G158"/>
    <mergeCell ref="H160:J160"/>
    <mergeCell ref="A1:C1"/>
    <mergeCell ref="D1:J1"/>
    <mergeCell ref="A2:J2"/>
    <mergeCell ref="A3:J3"/>
    <mergeCell ref="C157:D157"/>
  </mergeCells>
  <pageMargins left="0.62992125984251968" right="0.27559055118110237" top="0.59055118110236227" bottom="0.59055118110236227" header="0.51181102362204722" footer="0.51181102362204722"/>
  <pageSetup paperSize="9" scale="85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3"/>
  <sheetViews>
    <sheetView tabSelected="1" topLeftCell="A22" zoomScale="107" zoomScaleNormal="107" workbookViewId="0">
      <selection activeCell="A6" sqref="A6:O8"/>
    </sheetView>
  </sheetViews>
  <sheetFormatPr defaultRowHeight="12.75"/>
  <cols>
    <col min="1" max="1" width="4.83203125" customWidth="1"/>
    <col min="2" max="2" width="31.5" customWidth="1"/>
    <col min="3" max="3" width="17.1640625" customWidth="1"/>
    <col min="4" max="4" width="3.5" style="98" bestFit="1" customWidth="1"/>
    <col min="5" max="5" width="15.5" customWidth="1"/>
    <col min="6" max="6" width="17.6640625" customWidth="1"/>
    <col min="7" max="7" width="17.33203125" customWidth="1"/>
    <col min="8" max="8" width="16.83203125" customWidth="1"/>
    <col min="9" max="9" width="18.1640625" customWidth="1"/>
    <col min="10" max="10" width="17.1640625" customWidth="1"/>
    <col min="11" max="12" width="16.83203125" customWidth="1"/>
    <col min="13" max="13" width="17" customWidth="1"/>
    <col min="14" max="14" width="18.1640625" customWidth="1"/>
    <col min="15" max="15" width="17.5" customWidth="1"/>
    <col min="16" max="1030" width="12.83203125" customWidth="1"/>
  </cols>
  <sheetData>
    <row r="1" spans="1:15" ht="12.75" customHeight="1" thickBot="1">
      <c r="A1" s="192" t="s">
        <v>342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5" ht="13.5" thickBot="1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5" ht="13.5" thickBot="1">
      <c r="A3" s="192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5" ht="13.5" thickBot="1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1:15" ht="13.5" thickBot="1">
      <c r="A5" s="192"/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</row>
    <row r="6" spans="1:15" ht="13.15" customHeight="1">
      <c r="A6" s="194" t="str">
        <f>'casa 42'!A3:J3</f>
        <v xml:space="preserve">OBRA/SERVIÇO: CONSTRUÇÃO DE 04 (QUATRO) RESIDENCIAS UNIFAMILIARES DO PROGRAMA NOSSA CASA LOCAL: RUA RENIVALDO IENNY – BAIRRO ARNALDO SCANDIUZZI – ARAMINA    ESTADO: SÃO PAULO
BASE: CDHU VERSÃO: 189 - COM DESONERAÇÃO -  LEI SOCIAL 97,78 - VIGÊNCIA JUNHO/2023
SINAPI DESONERADO DATA DE EMISSÃO: 14/05/2023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DATA: 14/06/2023       BDI = 22,96%                                                 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6"/>
    </row>
    <row r="7" spans="1:15">
      <c r="A7" s="17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8"/>
    </row>
    <row r="8" spans="1:15" ht="33" customHeight="1" thickBot="1">
      <c r="A8" s="199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1"/>
    </row>
    <row r="9" spans="1:15" ht="24" thickBot="1">
      <c r="A9" s="193" t="s">
        <v>343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</row>
    <row r="10" spans="1:15" ht="29.25" thickBot="1">
      <c r="A10" s="122" t="s">
        <v>2</v>
      </c>
      <c r="B10" s="123" t="s">
        <v>344</v>
      </c>
      <c r="C10" s="124" t="s">
        <v>345</v>
      </c>
      <c r="D10" s="125"/>
      <c r="E10" s="126" t="s">
        <v>346</v>
      </c>
      <c r="F10" s="127" t="s">
        <v>397</v>
      </c>
      <c r="G10" s="128" t="s">
        <v>347</v>
      </c>
      <c r="H10" s="128" t="s">
        <v>348</v>
      </c>
      <c r="I10" s="128" t="s">
        <v>349</v>
      </c>
      <c r="J10" s="128" t="s">
        <v>391</v>
      </c>
      <c r="K10" s="128" t="s">
        <v>392</v>
      </c>
      <c r="L10" s="128" t="s">
        <v>393</v>
      </c>
      <c r="M10" s="128" t="s">
        <v>394</v>
      </c>
      <c r="N10" s="128" t="s">
        <v>396</v>
      </c>
      <c r="O10" s="129" t="s">
        <v>345</v>
      </c>
    </row>
    <row r="11" spans="1:15" ht="15" thickBot="1">
      <c r="A11" s="205" t="str">
        <f>'casa 42'!A6</f>
        <v>1.1</v>
      </c>
      <c r="B11" s="206" t="str">
        <f>'casa 42'!D6</f>
        <v>SERVIÇOS PRELIMINARES</v>
      </c>
      <c r="C11" s="130">
        <f>'casa 42'!J6</f>
        <v>4616.57</v>
      </c>
      <c r="D11" s="131" t="s">
        <v>350</v>
      </c>
      <c r="E11" s="132">
        <f>C11</f>
        <v>4616.57</v>
      </c>
      <c r="F11" s="133"/>
      <c r="G11" s="134"/>
      <c r="H11" s="135"/>
      <c r="I11" s="136"/>
      <c r="J11" s="136"/>
      <c r="K11" s="136"/>
      <c r="L11" s="136"/>
      <c r="M11" s="136"/>
      <c r="N11" s="136"/>
      <c r="O11" s="132">
        <f>SUM(E11:N11)</f>
        <v>4616.57</v>
      </c>
    </row>
    <row r="12" spans="1:15" ht="15" thickBot="1">
      <c r="A12" s="205"/>
      <c r="B12" s="206"/>
      <c r="C12" s="137">
        <f>C11/C55</f>
        <v>9.0230290242978763E-3</v>
      </c>
      <c r="D12" s="138" t="s">
        <v>351</v>
      </c>
      <c r="E12" s="139">
        <v>1</v>
      </c>
      <c r="F12" s="140"/>
      <c r="G12" s="139"/>
      <c r="H12" s="141"/>
      <c r="I12" s="139"/>
      <c r="J12" s="139"/>
      <c r="K12" s="139"/>
      <c r="L12" s="139"/>
      <c r="M12" s="139"/>
      <c r="N12" s="139"/>
      <c r="O12" s="142">
        <f>SUM(E12:N12)</f>
        <v>1</v>
      </c>
    </row>
    <row r="13" spans="1:15" ht="14.25">
      <c r="A13" s="207" t="str">
        <f>'casa 42'!A9</f>
        <v>1.2</v>
      </c>
      <c r="B13" s="208" t="str">
        <f>'casa 42'!D9</f>
        <v>INFRAESTRUTURA</v>
      </c>
      <c r="C13" s="143">
        <f>'casa 42'!J9</f>
        <v>38182.869999999995</v>
      </c>
      <c r="D13" s="144" t="s">
        <v>350</v>
      </c>
      <c r="E13" s="145">
        <f>C13</f>
        <v>38182.869999999995</v>
      </c>
      <c r="F13" s="146"/>
      <c r="G13" s="145"/>
      <c r="H13" s="147"/>
      <c r="I13" s="145"/>
      <c r="J13" s="145"/>
      <c r="K13" s="145"/>
      <c r="L13" s="145"/>
      <c r="M13" s="148"/>
      <c r="N13" s="148"/>
      <c r="O13" s="132">
        <f t="shared" ref="O13:O54" si="0">SUM(E13:N13)</f>
        <v>38182.869999999995</v>
      </c>
    </row>
    <row r="14" spans="1:15" ht="15" thickBot="1">
      <c r="A14" s="207"/>
      <c r="B14" s="208"/>
      <c r="C14" s="137">
        <f>C13/C55</f>
        <v>7.4627947640995937E-2</v>
      </c>
      <c r="D14" s="138" t="s">
        <v>351</v>
      </c>
      <c r="E14" s="139">
        <v>1</v>
      </c>
      <c r="F14" s="140"/>
      <c r="G14" s="139"/>
      <c r="H14" s="141"/>
      <c r="I14" s="139"/>
      <c r="J14" s="139"/>
      <c r="K14" s="139"/>
      <c r="L14" s="139"/>
      <c r="M14" s="139"/>
      <c r="N14" s="139"/>
      <c r="O14" s="142">
        <f t="shared" si="0"/>
        <v>1</v>
      </c>
    </row>
    <row r="15" spans="1:15" ht="14.25">
      <c r="A15" s="207" t="str">
        <f>'casa 42'!A20</f>
        <v>1.3</v>
      </c>
      <c r="B15" s="209" t="str">
        <f>'casa 42'!D20</f>
        <v>SUPRAESTRUTURA E ALVENARIA</v>
      </c>
      <c r="C15" s="143">
        <f>'casa 42'!J20</f>
        <v>62504.56</v>
      </c>
      <c r="D15" s="144" t="s">
        <v>350</v>
      </c>
      <c r="E15" s="149">
        <f>C15*0.2</f>
        <v>12500.912</v>
      </c>
      <c r="F15" s="146">
        <f>C15*0.5</f>
        <v>31252.28</v>
      </c>
      <c r="G15" s="145">
        <f>C15-E15-F15</f>
        <v>18751.368000000002</v>
      </c>
      <c r="H15" s="147"/>
      <c r="I15" s="145"/>
      <c r="J15" s="145"/>
      <c r="K15" s="145"/>
      <c r="L15" s="145"/>
      <c r="M15" s="148"/>
      <c r="N15" s="148"/>
      <c r="O15" s="132">
        <f t="shared" si="0"/>
        <v>62504.56</v>
      </c>
    </row>
    <row r="16" spans="1:15" ht="15" thickBot="1">
      <c r="A16" s="207"/>
      <c r="B16" s="209"/>
      <c r="C16" s="137">
        <f>C15/C55</f>
        <v>0.12216439023581752</v>
      </c>
      <c r="D16" s="138" t="s">
        <v>351</v>
      </c>
      <c r="E16" s="139">
        <v>0.2</v>
      </c>
      <c r="F16" s="140">
        <v>0.5</v>
      </c>
      <c r="G16" s="139">
        <v>0.3</v>
      </c>
      <c r="H16" s="141"/>
      <c r="I16" s="139"/>
      <c r="J16" s="139"/>
      <c r="K16" s="139"/>
      <c r="L16" s="139"/>
      <c r="M16" s="139"/>
      <c r="N16" s="139"/>
      <c r="O16" s="142">
        <f t="shared" si="0"/>
        <v>1</v>
      </c>
    </row>
    <row r="17" spans="1:15" ht="14.25">
      <c r="A17" s="207" t="str">
        <f>'casa 42'!A29</f>
        <v>1.4</v>
      </c>
      <c r="B17" s="209" t="str">
        <f>'casa 42'!D29</f>
        <v>COBERTURA</v>
      </c>
      <c r="C17" s="143">
        <f>'casa 42'!J29</f>
        <v>49768.36</v>
      </c>
      <c r="D17" s="144" t="s">
        <v>350</v>
      </c>
      <c r="E17" s="145"/>
      <c r="F17" s="146">
        <f>C17/2</f>
        <v>24884.18</v>
      </c>
      <c r="G17" s="145">
        <f>C17/2</f>
        <v>24884.18</v>
      </c>
      <c r="H17" s="147"/>
      <c r="I17" s="145"/>
      <c r="J17" s="145"/>
      <c r="K17" s="145"/>
      <c r="L17" s="145"/>
      <c r="M17" s="148"/>
      <c r="N17" s="148"/>
      <c r="O17" s="132">
        <f t="shared" si="0"/>
        <v>49768.36</v>
      </c>
    </row>
    <row r="18" spans="1:15" ht="15" thickBot="1">
      <c r="A18" s="207"/>
      <c r="B18" s="209"/>
      <c r="C18" s="137">
        <f>C17/C57</f>
        <v>9.7271644699789134E-2</v>
      </c>
      <c r="D18" s="138" t="s">
        <v>351</v>
      </c>
      <c r="E18" s="139"/>
      <c r="F18" s="140">
        <v>0.5</v>
      </c>
      <c r="G18" s="139">
        <v>0.5</v>
      </c>
      <c r="H18" s="141"/>
      <c r="I18" s="139"/>
      <c r="J18" s="139"/>
      <c r="K18" s="139"/>
      <c r="L18" s="139"/>
      <c r="M18" s="139"/>
      <c r="N18" s="139"/>
      <c r="O18" s="142">
        <f t="shared" si="0"/>
        <v>1</v>
      </c>
    </row>
    <row r="19" spans="1:15" ht="14.25">
      <c r="A19" s="207" t="str">
        <f>'casa 42'!A33</f>
        <v>1.5</v>
      </c>
      <c r="B19" s="209" t="str">
        <f>'casa 42'!D33</f>
        <v>REVESTIMENTO</v>
      </c>
      <c r="C19" s="143">
        <f>'casa 42'!J33</f>
        <v>41703.020000000004</v>
      </c>
      <c r="D19" s="144" t="s">
        <v>350</v>
      </c>
      <c r="E19" s="145"/>
      <c r="F19" s="146"/>
      <c r="G19" s="145"/>
      <c r="H19" s="147">
        <f>C19/2</f>
        <v>20851.510000000002</v>
      </c>
      <c r="I19" s="145">
        <f>C19-H19</f>
        <v>20851.510000000002</v>
      </c>
      <c r="J19" s="145"/>
      <c r="K19" s="145"/>
      <c r="L19" s="145"/>
      <c r="M19" s="148"/>
      <c r="N19" s="148"/>
      <c r="O19" s="132">
        <f t="shared" si="0"/>
        <v>41703.020000000004</v>
      </c>
    </row>
    <row r="20" spans="1:15" ht="15" thickBot="1">
      <c r="A20" s="207"/>
      <c r="B20" s="209"/>
      <c r="C20" s="137">
        <f>C19/$C$55</f>
        <v>8.1508037322270618E-2</v>
      </c>
      <c r="D20" s="138" t="s">
        <v>351</v>
      </c>
      <c r="E20" s="139"/>
      <c r="F20" s="140"/>
      <c r="G20" s="139"/>
      <c r="H20" s="141">
        <v>0.5</v>
      </c>
      <c r="I20" s="139">
        <v>0.5</v>
      </c>
      <c r="J20" s="139"/>
      <c r="K20" s="139"/>
      <c r="L20" s="139"/>
      <c r="M20" s="139"/>
      <c r="N20" s="139"/>
      <c r="O20" s="142">
        <f t="shared" si="0"/>
        <v>1</v>
      </c>
    </row>
    <row r="21" spans="1:15" ht="14.25">
      <c r="A21" s="207" t="str">
        <f>'casa 42'!A39</f>
        <v>1.6</v>
      </c>
      <c r="B21" s="209" t="str">
        <f>'casa 42'!D39</f>
        <v>ESQUADRIAS</v>
      </c>
      <c r="C21" s="143">
        <f>'casa 42'!J39</f>
        <v>35581.71</v>
      </c>
      <c r="D21" s="144" t="s">
        <v>350</v>
      </c>
      <c r="E21" s="145"/>
      <c r="F21" s="146"/>
      <c r="G21" s="145"/>
      <c r="H21" s="147"/>
      <c r="I21" s="145">
        <f>C21</f>
        <v>35581.71</v>
      </c>
      <c r="J21" s="145"/>
      <c r="K21" s="145"/>
      <c r="L21" s="145"/>
      <c r="M21" s="148"/>
      <c r="N21" s="148"/>
      <c r="O21" s="132">
        <f t="shared" si="0"/>
        <v>35581.71</v>
      </c>
    </row>
    <row r="22" spans="1:15" ht="15" thickBot="1">
      <c r="A22" s="207"/>
      <c r="B22" s="209"/>
      <c r="C22" s="137">
        <f>C21/$C$55</f>
        <v>6.9544012560006668E-2</v>
      </c>
      <c r="D22" s="138" t="s">
        <v>351</v>
      </c>
      <c r="E22" s="139"/>
      <c r="F22" s="140"/>
      <c r="G22" s="139"/>
      <c r="H22" s="141"/>
      <c r="I22" s="139">
        <v>1</v>
      </c>
      <c r="J22" s="139"/>
      <c r="K22" s="139"/>
      <c r="L22" s="139"/>
      <c r="M22" s="139"/>
      <c r="N22" s="139"/>
      <c r="O22" s="142">
        <f t="shared" si="0"/>
        <v>1</v>
      </c>
    </row>
    <row r="23" spans="1:15" ht="14.25">
      <c r="A23" s="207" t="str">
        <f>'casa 42'!A46</f>
        <v>1.7</v>
      </c>
      <c r="B23" s="209" t="str">
        <f>'casa 42'!D46</f>
        <v>PISO INTERNO</v>
      </c>
      <c r="C23" s="143">
        <f>'casa 42'!J46</f>
        <v>25261.929999999997</v>
      </c>
      <c r="D23" s="144" t="s">
        <v>350</v>
      </c>
      <c r="E23" s="145"/>
      <c r="F23" s="146"/>
      <c r="G23" s="145"/>
      <c r="H23" s="147"/>
      <c r="I23" s="145"/>
      <c r="J23" s="145">
        <f>C23</f>
        <v>25261.929999999997</v>
      </c>
      <c r="K23" s="145"/>
      <c r="L23" s="145"/>
      <c r="M23" s="148"/>
      <c r="N23" s="148"/>
      <c r="O23" s="132">
        <f t="shared" si="0"/>
        <v>25261.929999999997</v>
      </c>
    </row>
    <row r="24" spans="1:15" ht="15" thickBot="1">
      <c r="A24" s="207"/>
      <c r="B24" s="209"/>
      <c r="C24" s="137">
        <f>C23/$C$55</f>
        <v>4.9374130057549488E-2</v>
      </c>
      <c r="D24" s="138" t="s">
        <v>351</v>
      </c>
      <c r="E24" s="139"/>
      <c r="F24" s="140"/>
      <c r="G24" s="139"/>
      <c r="H24" s="141"/>
      <c r="I24" s="139"/>
      <c r="J24" s="139">
        <v>1</v>
      </c>
      <c r="K24" s="139"/>
      <c r="L24" s="139"/>
      <c r="M24" s="139"/>
      <c r="N24" s="139"/>
      <c r="O24" s="142">
        <f t="shared" si="0"/>
        <v>1</v>
      </c>
    </row>
    <row r="25" spans="1:15" ht="14.25">
      <c r="A25" s="207" t="str">
        <f>'casa 42'!A57</f>
        <v>1.8.1</v>
      </c>
      <c r="B25" s="209" t="str">
        <f>'casa 42'!D57</f>
        <v>ÁGUA FRIA</v>
      </c>
      <c r="C25" s="143">
        <f>'casa 42'!J57</f>
        <v>15060.12</v>
      </c>
      <c r="D25" s="144" t="s">
        <v>350</v>
      </c>
      <c r="E25" s="145">
        <f>C25*0.1</f>
        <v>1506.0120000000002</v>
      </c>
      <c r="F25" s="146"/>
      <c r="G25" s="145"/>
      <c r="H25" s="147">
        <f>C25-E25</f>
        <v>13554.108</v>
      </c>
      <c r="I25" s="145"/>
      <c r="J25" s="145"/>
      <c r="K25" s="145"/>
      <c r="L25" s="145"/>
      <c r="M25" s="148"/>
      <c r="N25" s="148"/>
      <c r="O25" s="132">
        <f t="shared" si="0"/>
        <v>15060.12</v>
      </c>
    </row>
    <row r="26" spans="1:15" ht="15" thickBot="1">
      <c r="A26" s="207"/>
      <c r="B26" s="209"/>
      <c r="C26" s="137">
        <f>C25/$C$55</f>
        <v>2.943481846249682E-2</v>
      </c>
      <c r="D26" s="138" t="s">
        <v>351</v>
      </c>
      <c r="E26" s="139">
        <v>0.1</v>
      </c>
      <c r="F26" s="140"/>
      <c r="G26" s="139"/>
      <c r="H26" s="141">
        <v>0.9</v>
      </c>
      <c r="I26" s="139"/>
      <c r="J26" s="139"/>
      <c r="K26" s="139"/>
      <c r="L26" s="139"/>
      <c r="M26" s="139"/>
      <c r="N26" s="139"/>
      <c r="O26" s="142">
        <f t="shared" si="0"/>
        <v>1</v>
      </c>
    </row>
    <row r="27" spans="1:15" ht="14.25">
      <c r="A27" s="207" t="str">
        <f>'casa 42'!A69</f>
        <v>1.8.2</v>
      </c>
      <c r="B27" s="209" t="str">
        <f>'casa 42'!D69</f>
        <v>ESGOTO</v>
      </c>
      <c r="C27" s="143">
        <f>'casa 42'!J69</f>
        <v>18089.240000000002</v>
      </c>
      <c r="D27" s="144" t="s">
        <v>350</v>
      </c>
      <c r="E27" s="145">
        <f>C27*0.1</f>
        <v>1808.9240000000002</v>
      </c>
      <c r="F27" s="146"/>
      <c r="G27" s="145"/>
      <c r="H27" s="147">
        <f>C27-E27</f>
        <v>16280.316000000001</v>
      </c>
      <c r="I27" s="145"/>
      <c r="J27" s="145"/>
      <c r="K27" s="145"/>
      <c r="L27" s="145"/>
      <c r="M27" s="148"/>
      <c r="N27" s="148"/>
      <c r="O27" s="132">
        <f t="shared" si="0"/>
        <v>18089.240000000002</v>
      </c>
    </row>
    <row r="28" spans="1:15" ht="15" thickBot="1">
      <c r="A28" s="207"/>
      <c r="B28" s="209"/>
      <c r="C28" s="137">
        <f>C27/$C$55</f>
        <v>3.5355196075764074E-2</v>
      </c>
      <c r="D28" s="138" t="s">
        <v>351</v>
      </c>
      <c r="E28" s="139">
        <v>0.1</v>
      </c>
      <c r="F28" s="140"/>
      <c r="G28" s="139"/>
      <c r="H28" s="141">
        <v>0.9</v>
      </c>
      <c r="I28" s="139"/>
      <c r="J28" s="139"/>
      <c r="K28" s="139"/>
      <c r="L28" s="139"/>
      <c r="M28" s="139"/>
      <c r="N28" s="139"/>
      <c r="O28" s="142">
        <f t="shared" si="0"/>
        <v>1</v>
      </c>
    </row>
    <row r="29" spans="1:15" ht="14.25">
      <c r="A29" s="207" t="str">
        <f>'casa 42'!A79</f>
        <v>1.8.3</v>
      </c>
      <c r="B29" s="209" t="str">
        <f>'casa 42'!D79</f>
        <v>ACESSÓRIOS</v>
      </c>
      <c r="C29" s="143">
        <f>'casa 42'!J79</f>
        <v>10392.480000000001</v>
      </c>
      <c r="D29" s="144" t="s">
        <v>350</v>
      </c>
      <c r="E29" s="145"/>
      <c r="F29" s="146"/>
      <c r="G29" s="145"/>
      <c r="H29" s="147"/>
      <c r="I29" s="145"/>
      <c r="J29" s="145">
        <f>C29</f>
        <v>10392.480000000001</v>
      </c>
      <c r="K29" s="145"/>
      <c r="L29" s="145"/>
      <c r="M29" s="148"/>
      <c r="N29" s="148"/>
      <c r="O29" s="132">
        <f t="shared" si="0"/>
        <v>10392.480000000001</v>
      </c>
    </row>
    <row r="30" spans="1:15" ht="15" thickBot="1">
      <c r="A30" s="207"/>
      <c r="B30" s="209"/>
      <c r="C30" s="137">
        <f>C29/$C$55</f>
        <v>2.0311973754201757E-2</v>
      </c>
      <c r="D30" s="138" t="s">
        <v>351</v>
      </c>
      <c r="E30" s="139"/>
      <c r="F30" s="140"/>
      <c r="G30" s="139"/>
      <c r="H30" s="141"/>
      <c r="I30" s="139"/>
      <c r="J30" s="139">
        <v>1</v>
      </c>
      <c r="K30" s="139"/>
      <c r="L30" s="139"/>
      <c r="M30" s="139"/>
      <c r="N30" s="139"/>
      <c r="O30" s="142">
        <f t="shared" si="0"/>
        <v>1</v>
      </c>
    </row>
    <row r="31" spans="1:15" ht="14.25">
      <c r="A31" s="207" t="str">
        <f>'casa 42'!A92</f>
        <v>1.9.1</v>
      </c>
      <c r="B31" s="209" t="str">
        <f>'casa 42'!D92</f>
        <v>ENTRADA DE ENERGIA</v>
      </c>
      <c r="C31" s="143">
        <f>'casa 42'!J92</f>
        <v>8648.08</v>
      </c>
      <c r="D31" s="144" t="s">
        <v>350</v>
      </c>
      <c r="E31" s="145">
        <f>C31</f>
        <v>8648.08</v>
      </c>
      <c r="F31" s="146"/>
      <c r="G31" s="145"/>
      <c r="H31" s="147"/>
      <c r="I31" s="145"/>
      <c r="J31" s="145"/>
      <c r="K31" s="145"/>
      <c r="L31" s="145"/>
      <c r="M31" s="148"/>
      <c r="N31" s="148"/>
      <c r="O31" s="132">
        <f t="shared" si="0"/>
        <v>8648.08</v>
      </c>
    </row>
    <row r="32" spans="1:15" ht="15" thickBot="1">
      <c r="A32" s="207"/>
      <c r="B32" s="209"/>
      <c r="C32" s="137">
        <f>C31/$C$55</f>
        <v>1.690256550738968E-2</v>
      </c>
      <c r="D32" s="138" t="s">
        <v>351</v>
      </c>
      <c r="E32" s="139">
        <v>1</v>
      </c>
      <c r="F32" s="140"/>
      <c r="G32" s="139"/>
      <c r="H32" s="141"/>
      <c r="I32" s="139"/>
      <c r="J32" s="139"/>
      <c r="K32" s="139"/>
      <c r="L32" s="139"/>
      <c r="M32" s="139"/>
      <c r="N32" s="139"/>
      <c r="O32" s="142">
        <f t="shared" si="0"/>
        <v>1</v>
      </c>
    </row>
    <row r="33" spans="1:15" ht="14.25">
      <c r="A33" s="207" t="str">
        <f>'casa 42'!A94</f>
        <v>1.9.2</v>
      </c>
      <c r="B33" s="209" t="str">
        <f>'casa 42'!D94</f>
        <v>REDE DE DISTRIBUIÇÃO</v>
      </c>
      <c r="C33" s="143">
        <f>'casa 42'!J94</f>
        <v>13499.960000000001</v>
      </c>
      <c r="D33" s="144" t="s">
        <v>350</v>
      </c>
      <c r="E33" s="145"/>
      <c r="F33" s="146"/>
      <c r="G33" s="145"/>
      <c r="H33" s="147">
        <f>C33/2</f>
        <v>6749.9800000000005</v>
      </c>
      <c r="I33" s="145"/>
      <c r="J33" s="145">
        <f>C33-H33</f>
        <v>6749.9800000000005</v>
      </c>
      <c r="K33" s="145"/>
      <c r="L33" s="145"/>
      <c r="M33" s="148"/>
      <c r="N33" s="148"/>
      <c r="O33" s="132">
        <f t="shared" si="0"/>
        <v>13499.960000000001</v>
      </c>
    </row>
    <row r="34" spans="1:15" ht="15" thickBot="1">
      <c r="A34" s="207"/>
      <c r="B34" s="209"/>
      <c r="C34" s="137">
        <f>C33/$C$55</f>
        <v>2.6385505019280629E-2</v>
      </c>
      <c r="D34" s="138" t="s">
        <v>351</v>
      </c>
      <c r="E34" s="139"/>
      <c r="F34" s="140"/>
      <c r="G34" s="139"/>
      <c r="H34" s="141">
        <v>0.5</v>
      </c>
      <c r="I34" s="139"/>
      <c r="J34" s="139">
        <v>0.5</v>
      </c>
      <c r="K34" s="139"/>
      <c r="L34" s="139"/>
      <c r="M34" s="139"/>
      <c r="N34" s="139"/>
      <c r="O34" s="142">
        <f t="shared" si="0"/>
        <v>1</v>
      </c>
    </row>
    <row r="35" spans="1:15" ht="14.25">
      <c r="A35" s="207" t="str">
        <f>'casa 42'!A106</f>
        <v>1.9.3</v>
      </c>
      <c r="B35" s="209" t="str">
        <f>'casa 42'!D106</f>
        <v>PONTOS DE ILUMINAÇÃO E TOMADAS</v>
      </c>
      <c r="C35" s="143">
        <f>'casa 42'!J106</f>
        <v>6375.5199999999995</v>
      </c>
      <c r="D35" s="144" t="s">
        <v>350</v>
      </c>
      <c r="E35" s="145"/>
      <c r="F35" s="146"/>
      <c r="G35" s="145"/>
      <c r="H35" s="147">
        <f>C35*0.2</f>
        <v>1275.104</v>
      </c>
      <c r="I35" s="145"/>
      <c r="J35" s="145">
        <f>C35-H35</f>
        <v>5100.4159999999993</v>
      </c>
      <c r="K35" s="145"/>
      <c r="L35" s="145"/>
      <c r="M35" s="148"/>
      <c r="N35" s="148"/>
      <c r="O35" s="132">
        <f t="shared" si="0"/>
        <v>6375.5199999999995</v>
      </c>
    </row>
    <row r="36" spans="1:15" ht="15" thickBot="1">
      <c r="A36" s="207"/>
      <c r="B36" s="209"/>
      <c r="C36" s="137">
        <f>C35/$C$55</f>
        <v>1.2460875066335309E-2</v>
      </c>
      <c r="D36" s="138" t="s">
        <v>351</v>
      </c>
      <c r="E36" s="139"/>
      <c r="F36" s="140"/>
      <c r="G36" s="139"/>
      <c r="H36" s="141">
        <v>0.2</v>
      </c>
      <c r="I36" s="139"/>
      <c r="J36" s="139">
        <v>0.8</v>
      </c>
      <c r="K36" s="139"/>
      <c r="L36" s="139"/>
      <c r="M36" s="139"/>
      <c r="N36" s="139"/>
      <c r="O36" s="142">
        <f t="shared" si="0"/>
        <v>1</v>
      </c>
    </row>
    <row r="37" spans="1:15" ht="14.25">
      <c r="A37" s="207" t="str">
        <f>'casa 42'!A116</f>
        <v>1.10</v>
      </c>
      <c r="B37" s="209" t="str">
        <f>'casa 42'!D116</f>
        <v>PINTURA</v>
      </c>
      <c r="C37" s="143">
        <f>'casa 42'!J116</f>
        <v>26708.52</v>
      </c>
      <c r="D37" s="144" t="s">
        <v>350</v>
      </c>
      <c r="E37" s="145"/>
      <c r="F37" s="146"/>
      <c r="G37" s="145"/>
      <c r="H37" s="147"/>
      <c r="I37" s="145"/>
      <c r="J37" s="145"/>
      <c r="K37" s="145"/>
      <c r="L37" s="145"/>
      <c r="M37" s="148"/>
      <c r="N37" s="148">
        <f>C37</f>
        <v>26708.52</v>
      </c>
      <c r="O37" s="132">
        <f t="shared" si="0"/>
        <v>26708.52</v>
      </c>
    </row>
    <row r="38" spans="1:15" ht="15" thickBot="1">
      <c r="A38" s="207"/>
      <c r="B38" s="209"/>
      <c r="C38" s="137">
        <f>C37/$C$55</f>
        <v>5.2201472338996344E-2</v>
      </c>
      <c r="D38" s="138" t="s">
        <v>351</v>
      </c>
      <c r="E38" s="139"/>
      <c r="F38" s="140"/>
      <c r="G38" s="139"/>
      <c r="H38" s="141"/>
      <c r="I38" s="139"/>
      <c r="J38" s="139"/>
      <c r="K38" s="139"/>
      <c r="L38" s="139"/>
      <c r="M38" s="139"/>
      <c r="N38" s="139">
        <v>1</v>
      </c>
      <c r="O38" s="142">
        <f t="shared" si="0"/>
        <v>1</v>
      </c>
    </row>
    <row r="39" spans="1:15" ht="14.25">
      <c r="A39" s="207" t="str">
        <f>'casa 42'!A125</f>
        <v>2.1</v>
      </c>
      <c r="B39" s="209" t="str">
        <f>'casa 42'!D125</f>
        <v>SERVIÇOS PRELIMINARES</v>
      </c>
      <c r="C39" s="143">
        <f>'casa 42'!J125</f>
        <v>377.4</v>
      </c>
      <c r="D39" s="144" t="s">
        <v>350</v>
      </c>
      <c r="E39" s="145"/>
      <c r="F39" s="146"/>
      <c r="G39" s="145"/>
      <c r="H39" s="147"/>
      <c r="I39" s="145"/>
      <c r="J39" s="145"/>
      <c r="K39" s="145">
        <f>C39</f>
        <v>377.4</v>
      </c>
      <c r="L39" s="145"/>
      <c r="M39" s="148"/>
      <c r="N39" s="148"/>
      <c r="O39" s="132">
        <f t="shared" si="0"/>
        <v>377.4</v>
      </c>
    </row>
    <row r="40" spans="1:15" ht="15" thickBot="1">
      <c r="A40" s="207"/>
      <c r="B40" s="209"/>
      <c r="C40" s="137">
        <f>C39/$C$55</f>
        <v>7.3762363697940647E-4</v>
      </c>
      <c r="D40" s="138" t="s">
        <v>351</v>
      </c>
      <c r="E40" s="139"/>
      <c r="F40" s="140"/>
      <c r="G40" s="139"/>
      <c r="H40" s="141"/>
      <c r="I40" s="139"/>
      <c r="J40" s="139"/>
      <c r="K40" s="139">
        <v>1</v>
      </c>
      <c r="L40" s="139"/>
      <c r="M40" s="139"/>
      <c r="N40" s="139"/>
      <c r="O40" s="142">
        <f t="shared" si="0"/>
        <v>1</v>
      </c>
    </row>
    <row r="41" spans="1:15" ht="14.25">
      <c r="A41" s="207" t="str">
        <f>'casa 42'!A127</f>
        <v>2.2</v>
      </c>
      <c r="B41" s="209" t="str">
        <f>'casa 42'!D127</f>
        <v>INFRAESTRUTURA</v>
      </c>
      <c r="C41" s="143">
        <f>'casa 42'!J127</f>
        <v>28595.510000000002</v>
      </c>
      <c r="D41" s="144" t="s">
        <v>350</v>
      </c>
      <c r="E41" s="145"/>
      <c r="F41" s="146"/>
      <c r="G41" s="145"/>
      <c r="H41" s="147"/>
      <c r="I41" s="145"/>
      <c r="J41" s="145"/>
      <c r="K41" s="145">
        <f>C41</f>
        <v>28595.510000000002</v>
      </c>
      <c r="L41" s="145"/>
      <c r="M41" s="148"/>
      <c r="N41" s="148"/>
      <c r="O41" s="132">
        <f t="shared" si="0"/>
        <v>28595.510000000002</v>
      </c>
    </row>
    <row r="42" spans="1:15" ht="15" thickBot="1">
      <c r="A42" s="207"/>
      <c r="B42" s="209"/>
      <c r="C42" s="137">
        <f>C41/$C$55</f>
        <v>5.5889570979016936E-2</v>
      </c>
      <c r="D42" s="138" t="s">
        <v>351</v>
      </c>
      <c r="E42" s="139"/>
      <c r="F42" s="140"/>
      <c r="G42" s="139"/>
      <c r="H42" s="141"/>
      <c r="I42" s="139"/>
      <c r="J42" s="139"/>
      <c r="K42" s="139">
        <v>1</v>
      </c>
      <c r="L42" s="139"/>
      <c r="M42" s="139"/>
      <c r="N42" s="139"/>
      <c r="O42" s="142">
        <f t="shared" si="0"/>
        <v>1</v>
      </c>
    </row>
    <row r="43" spans="1:15" ht="14.25">
      <c r="A43" s="207" t="str">
        <f>'casa 42'!A135</f>
        <v>2.3</v>
      </c>
      <c r="B43" s="209" t="str">
        <f>'casa 42'!D135</f>
        <v>SUPRAESTRUTURA E ALVENARIA</v>
      </c>
      <c r="C43" s="143">
        <f>'casa 42'!J135</f>
        <v>60754.979999999996</v>
      </c>
      <c r="D43" s="144" t="s">
        <v>350</v>
      </c>
      <c r="E43" s="145"/>
      <c r="F43" s="146"/>
      <c r="G43" s="145"/>
      <c r="H43" s="147"/>
      <c r="I43" s="145"/>
      <c r="J43" s="145"/>
      <c r="K43" s="145">
        <f>C43*0.3</f>
        <v>18226.493999999999</v>
      </c>
      <c r="L43" s="145">
        <f>C43-K43</f>
        <v>42528.485999999997</v>
      </c>
      <c r="M43" s="148"/>
      <c r="N43" s="148"/>
      <c r="O43" s="132">
        <f t="shared" si="0"/>
        <v>60754.979999999996</v>
      </c>
    </row>
    <row r="44" spans="1:15" ht="15" thickBot="1">
      <c r="A44" s="207"/>
      <c r="B44" s="209"/>
      <c r="C44" s="137">
        <f>C43/$C$55</f>
        <v>0.11874485774300769</v>
      </c>
      <c r="D44" s="138" t="s">
        <v>351</v>
      </c>
      <c r="E44" s="139"/>
      <c r="F44" s="140"/>
      <c r="G44" s="139"/>
      <c r="H44" s="141"/>
      <c r="I44" s="139"/>
      <c r="J44" s="139"/>
      <c r="K44" s="139">
        <v>0.3</v>
      </c>
      <c r="L44" s="139">
        <v>0.7</v>
      </c>
      <c r="M44" s="139"/>
      <c r="N44" s="139"/>
      <c r="O44" s="142">
        <f t="shared" si="0"/>
        <v>1</v>
      </c>
    </row>
    <row r="45" spans="1:15" ht="14.25">
      <c r="A45" s="207" t="str">
        <f>'casa 42'!A144</f>
        <v>2.4</v>
      </c>
      <c r="B45" s="209" t="str">
        <f>'casa 42'!D144</f>
        <v>REVESTIMENTO</v>
      </c>
      <c r="C45" s="143">
        <f>'casa 42'!J144</f>
        <v>7298.8</v>
      </c>
      <c r="D45" s="144" t="s">
        <v>350</v>
      </c>
      <c r="E45" s="145"/>
      <c r="F45" s="146"/>
      <c r="G45" s="145"/>
      <c r="H45" s="147"/>
      <c r="I45" s="145"/>
      <c r="J45" s="145"/>
      <c r="K45" s="145"/>
      <c r="L45" s="145"/>
      <c r="M45" s="148">
        <f>C45</f>
        <v>7298.8</v>
      </c>
      <c r="N45" s="148"/>
      <c r="O45" s="132">
        <f t="shared" si="0"/>
        <v>7298.8</v>
      </c>
    </row>
    <row r="46" spans="1:15" ht="15" thickBot="1">
      <c r="A46" s="207"/>
      <c r="B46" s="209"/>
      <c r="C46" s="137">
        <f>C45/$C$55</f>
        <v>1.4265414418614977E-2</v>
      </c>
      <c r="D46" s="138" t="s">
        <v>351</v>
      </c>
      <c r="E46" s="139"/>
      <c r="F46" s="140"/>
      <c r="G46" s="139"/>
      <c r="H46" s="141"/>
      <c r="I46" s="139"/>
      <c r="J46" s="139"/>
      <c r="K46" s="139"/>
      <c r="L46" s="139"/>
      <c r="M46" s="139">
        <v>1</v>
      </c>
      <c r="N46" s="139"/>
      <c r="O46" s="142">
        <f t="shared" si="0"/>
        <v>1</v>
      </c>
    </row>
    <row r="47" spans="1:15" ht="14.25">
      <c r="A47" s="207" t="str">
        <f>'casa 42'!A147</f>
        <v>2.5</v>
      </c>
      <c r="B47" s="209" t="str">
        <f>'casa 42'!D147</f>
        <v>ESQUADRIA</v>
      </c>
      <c r="C47" s="143">
        <f>'casa 42'!J147</f>
        <v>38189.120000000003</v>
      </c>
      <c r="D47" s="144" t="s">
        <v>350</v>
      </c>
      <c r="E47" s="145"/>
      <c r="F47" s="146"/>
      <c r="G47" s="145"/>
      <c r="H47" s="147"/>
      <c r="I47" s="145"/>
      <c r="J47" s="145"/>
      <c r="K47" s="145"/>
      <c r="L47" s="145"/>
      <c r="M47" s="148">
        <f>C47</f>
        <v>38189.120000000003</v>
      </c>
      <c r="N47" s="148"/>
      <c r="O47" s="132">
        <f t="shared" si="0"/>
        <v>38189.120000000003</v>
      </c>
    </row>
    <row r="48" spans="1:15" ht="15" thickBot="1">
      <c r="A48" s="207"/>
      <c r="B48" s="209"/>
      <c r="C48" s="137">
        <f>C47/$C$55</f>
        <v>7.4640163188773173E-2</v>
      </c>
      <c r="D48" s="138" t="s">
        <v>351</v>
      </c>
      <c r="E48" s="139"/>
      <c r="F48" s="140"/>
      <c r="G48" s="139"/>
      <c r="H48" s="141"/>
      <c r="I48" s="139"/>
      <c r="J48" s="139"/>
      <c r="K48" s="139"/>
      <c r="L48" s="139"/>
      <c r="M48" s="139">
        <v>1</v>
      </c>
      <c r="N48" s="139"/>
      <c r="O48" s="142">
        <f t="shared" si="0"/>
        <v>1</v>
      </c>
    </row>
    <row r="49" spans="1:15" ht="14.25">
      <c r="A49" s="207" t="str">
        <f>'casa 42'!A149</f>
        <v>2.6</v>
      </c>
      <c r="B49" s="209" t="str">
        <f>'casa 42'!D149</f>
        <v>PINTURA</v>
      </c>
      <c r="C49" s="143">
        <f>'casa 42'!J149</f>
        <v>5060.16</v>
      </c>
      <c r="D49" s="144" t="s">
        <v>350</v>
      </c>
      <c r="E49" s="145"/>
      <c r="F49" s="146"/>
      <c r="G49" s="145"/>
      <c r="H49" s="147"/>
      <c r="I49" s="145"/>
      <c r="J49" s="145"/>
      <c r="K49" s="145"/>
      <c r="L49" s="145"/>
      <c r="M49" s="148"/>
      <c r="N49" s="148">
        <f>C49</f>
        <v>5060.16</v>
      </c>
      <c r="O49" s="132">
        <f t="shared" si="0"/>
        <v>5060.16</v>
      </c>
    </row>
    <row r="50" spans="1:15" ht="15" thickBot="1">
      <c r="A50" s="207"/>
      <c r="B50" s="209"/>
      <c r="C50" s="137">
        <f>C49/$C$55</f>
        <v>9.8900201984571112E-3</v>
      </c>
      <c r="D50" s="138" t="s">
        <v>351</v>
      </c>
      <c r="E50" s="139"/>
      <c r="F50" s="140"/>
      <c r="G50" s="139"/>
      <c r="H50" s="141"/>
      <c r="I50" s="139"/>
      <c r="J50" s="139"/>
      <c r="K50" s="139"/>
      <c r="L50" s="139"/>
      <c r="M50" s="139"/>
      <c r="N50" s="139">
        <v>1</v>
      </c>
      <c r="O50" s="142">
        <f t="shared" si="0"/>
        <v>1</v>
      </c>
    </row>
    <row r="51" spans="1:15" ht="14.25">
      <c r="A51" s="207" t="str">
        <f>'casa 42'!A152</f>
        <v>2.7</v>
      </c>
      <c r="B51" s="209" t="str">
        <f>'casa 42'!D152</f>
        <v>RUFO</v>
      </c>
      <c r="C51" s="143">
        <f>'casa 42'!J152</f>
        <v>2639.04</v>
      </c>
      <c r="D51" s="144" t="s">
        <v>350</v>
      </c>
      <c r="E51" s="145"/>
      <c r="F51" s="146"/>
      <c r="G51" s="145"/>
      <c r="H51" s="147"/>
      <c r="I51" s="145"/>
      <c r="J51" s="145"/>
      <c r="K51" s="145"/>
      <c r="L51" s="145"/>
      <c r="M51" s="148">
        <f>C51</f>
        <v>2639.04</v>
      </c>
      <c r="N51" s="148"/>
      <c r="O51" s="132">
        <f t="shared" si="0"/>
        <v>2639.04</v>
      </c>
    </row>
    <row r="52" spans="1:15" ht="15" thickBot="1">
      <c r="A52" s="207"/>
      <c r="B52" s="209"/>
      <c r="C52" s="137">
        <f>C51/$C$55</f>
        <v>5.1579710729574273E-3</v>
      </c>
      <c r="D52" s="138" t="s">
        <v>351</v>
      </c>
      <c r="E52" s="139"/>
      <c r="F52" s="140"/>
      <c r="G52" s="139"/>
      <c r="H52" s="141"/>
      <c r="I52" s="139"/>
      <c r="J52" s="139"/>
      <c r="K52" s="139"/>
      <c r="L52" s="139"/>
      <c r="M52" s="139">
        <v>1</v>
      </c>
      <c r="N52" s="139"/>
      <c r="O52" s="142">
        <f t="shared" si="0"/>
        <v>1</v>
      </c>
    </row>
    <row r="53" spans="1:15" ht="14.25">
      <c r="A53" s="215">
        <f>'casa 42'!A154</f>
        <v>3</v>
      </c>
      <c r="B53" s="209" t="str">
        <f>'casa 42'!D154</f>
        <v>;</v>
      </c>
      <c r="C53" s="143">
        <f>'casa 42'!J154</f>
        <v>12335.09</v>
      </c>
      <c r="D53" s="144" t="s">
        <v>350</v>
      </c>
      <c r="E53" s="145"/>
      <c r="F53" s="146"/>
      <c r="G53" s="145"/>
      <c r="H53" s="147"/>
      <c r="I53" s="145"/>
      <c r="J53" s="145"/>
      <c r="K53" s="145"/>
      <c r="L53" s="145"/>
      <c r="M53" s="148">
        <f>C53</f>
        <v>12335.09</v>
      </c>
      <c r="N53" s="148"/>
      <c r="O53" s="132">
        <f t="shared" si="0"/>
        <v>12335.09</v>
      </c>
    </row>
    <row r="54" spans="1:15" ht="15" thickBot="1">
      <c r="A54" s="207"/>
      <c r="B54" s="209"/>
      <c r="C54" s="137">
        <f>C53/$C$55</f>
        <v>2.4108780997001346E-2</v>
      </c>
      <c r="D54" s="138" t="s">
        <v>351</v>
      </c>
      <c r="E54" s="139"/>
      <c r="F54" s="140"/>
      <c r="G54" s="139"/>
      <c r="H54" s="141"/>
      <c r="I54" s="139"/>
      <c r="J54" s="139"/>
      <c r="K54" s="139"/>
      <c r="L54" s="139"/>
      <c r="M54" s="139">
        <v>1</v>
      </c>
      <c r="N54" s="139"/>
      <c r="O54" s="142">
        <f t="shared" si="0"/>
        <v>1</v>
      </c>
    </row>
    <row r="55" spans="1:15" ht="15" thickBot="1">
      <c r="A55" s="210" t="str">
        <f>'casa 42'!A149</f>
        <v>2.6</v>
      </c>
      <c r="B55" s="211" t="s">
        <v>345</v>
      </c>
      <c r="C55" s="150">
        <f>C15+C13+C11+C17+C19+C21+C23+C25+C27+C29+C31+C33+C35+C37+C39+C41+C43+C45+C47+C49+C51+C53</f>
        <v>511643.04000000004</v>
      </c>
      <c r="D55" s="151" t="s">
        <v>350</v>
      </c>
      <c r="E55" s="152">
        <f t="shared" ref="E55:O55" si="1">E15+E13+E11+E17+E19+E21+E23+E25+E27+E29+E31+E33+E35+E37+E39+E41+E43+E45+E47+E49+E51+E53</f>
        <v>67263.367999999988</v>
      </c>
      <c r="F55" s="153">
        <f t="shared" si="1"/>
        <v>56136.46</v>
      </c>
      <c r="G55" s="152">
        <f t="shared" si="1"/>
        <v>43635.548000000003</v>
      </c>
      <c r="H55" s="153">
        <f t="shared" si="1"/>
        <v>58711.018000000004</v>
      </c>
      <c r="I55" s="152">
        <f t="shared" si="1"/>
        <v>56433.22</v>
      </c>
      <c r="J55" s="153">
        <f t="shared" ref="J55:L55" si="2">J15+J13+J11+J17+J19+J21+J23+J25+J27+J29+J31+J33+J35+J37+J39+J41+J43+J45+J47+J49+J51+J53</f>
        <v>47504.805999999997</v>
      </c>
      <c r="K55" s="152">
        <f t="shared" si="2"/>
        <v>47199.404000000002</v>
      </c>
      <c r="L55" s="153">
        <f t="shared" si="2"/>
        <v>42528.485999999997</v>
      </c>
      <c r="M55" s="152">
        <f t="shared" ref="M55:N55" si="3">M15+M13+M11+M17+M19+M21+M23+M25+M27+M29+M31+M33+M35+M37+M39+M41+M43+M45+M47+M49+M51+M53</f>
        <v>60462.05</v>
      </c>
      <c r="N55" s="153">
        <f t="shared" si="3"/>
        <v>31768.68</v>
      </c>
      <c r="O55" s="152">
        <f t="shared" si="1"/>
        <v>511643.04000000004</v>
      </c>
    </row>
    <row r="56" spans="1:15" ht="15" thickBot="1">
      <c r="A56" s="210"/>
      <c r="B56" s="211"/>
      <c r="C56" s="154">
        <f>SUM(C12,C14,C16,C18,C20,C22,C24,C26,C28,C30,C32,C34,C36,C38,C40,C42,C44,C46,C48,C50,C52,C54,)</f>
        <v>0.99999999999999989</v>
      </c>
      <c r="D56" s="155" t="s">
        <v>351</v>
      </c>
      <c r="E56" s="156">
        <f t="shared" ref="E56:N56" si="4">E55/$C$55</f>
        <v>0.13146542167367309</v>
      </c>
      <c r="F56" s="157">
        <f t="shared" si="4"/>
        <v>0.10971801746780332</v>
      </c>
      <c r="G56" s="156">
        <f t="shared" si="4"/>
        <v>8.5285139420639824E-2</v>
      </c>
      <c r="H56" s="157">
        <f t="shared" si="4"/>
        <v>0.11474995926847749</v>
      </c>
      <c r="I56" s="156">
        <f t="shared" si="4"/>
        <v>0.11029803122114198</v>
      </c>
      <c r="J56" s="158">
        <f t="shared" si="4"/>
        <v>9.2847556374459808E-2</v>
      </c>
      <c r="K56" s="156">
        <f t="shared" si="4"/>
        <v>9.2250651938898642E-2</v>
      </c>
      <c r="L56" s="158">
        <f t="shared" si="4"/>
        <v>8.3121400420105379E-2</v>
      </c>
      <c r="M56" s="156">
        <f t="shared" si="4"/>
        <v>0.11817232967734692</v>
      </c>
      <c r="N56" s="158">
        <f t="shared" si="4"/>
        <v>6.2091492537453455E-2</v>
      </c>
      <c r="O56" s="159">
        <f>E56+F56+G56+H56</f>
        <v>0.44121853783059373</v>
      </c>
    </row>
    <row r="57" spans="1:15" ht="15" thickBot="1">
      <c r="A57" s="212">
        <v>11</v>
      </c>
      <c r="B57" s="213" t="s">
        <v>352</v>
      </c>
      <c r="C57" s="150">
        <f>C55</f>
        <v>511643.04000000004</v>
      </c>
      <c r="D57" s="151" t="s">
        <v>350</v>
      </c>
      <c r="E57" s="132">
        <f>E55</f>
        <v>67263.367999999988</v>
      </c>
      <c r="F57" s="132">
        <f t="shared" ref="F57:N57" si="5">F55+E57</f>
        <v>123399.82799999998</v>
      </c>
      <c r="G57" s="132">
        <f t="shared" si="5"/>
        <v>167035.37599999999</v>
      </c>
      <c r="H57" s="132">
        <f t="shared" si="5"/>
        <v>225746.394</v>
      </c>
      <c r="I57" s="132">
        <f t="shared" si="5"/>
        <v>282179.614</v>
      </c>
      <c r="J57" s="132">
        <f t="shared" si="5"/>
        <v>329684.42</v>
      </c>
      <c r="K57" s="132">
        <f t="shared" si="5"/>
        <v>376883.82399999996</v>
      </c>
      <c r="L57" s="132">
        <f t="shared" si="5"/>
        <v>419412.30999999994</v>
      </c>
      <c r="M57" s="132">
        <f t="shared" si="5"/>
        <v>479874.35999999993</v>
      </c>
      <c r="N57" s="132">
        <f t="shared" si="5"/>
        <v>511643.03999999992</v>
      </c>
      <c r="O57" s="160"/>
    </row>
    <row r="58" spans="1:15" ht="15" thickBot="1">
      <c r="A58" s="212"/>
      <c r="B58" s="213"/>
      <c r="C58" s="161">
        <v>1</v>
      </c>
      <c r="D58" s="162" t="s">
        <v>351</v>
      </c>
      <c r="E58" s="159">
        <v>6.5462406438626303E-2</v>
      </c>
      <c r="F58" s="159">
        <f>F57/C57</f>
        <v>0.24118343914147639</v>
      </c>
      <c r="G58" s="159">
        <f t="shared" ref="G58:N58" si="6">G57/$C$57</f>
        <v>0.32646857856211625</v>
      </c>
      <c r="H58" s="159">
        <f t="shared" si="6"/>
        <v>0.44121853783059373</v>
      </c>
      <c r="I58" s="163">
        <f t="shared" si="6"/>
        <v>0.55151656905173574</v>
      </c>
      <c r="J58" s="163">
        <f t="shared" si="6"/>
        <v>0.64436412542619548</v>
      </c>
      <c r="K58" s="163">
        <f t="shared" si="6"/>
        <v>0.73661477736509406</v>
      </c>
      <c r="L58" s="163">
        <f t="shared" si="6"/>
        <v>0.81973617778519947</v>
      </c>
      <c r="M58" s="163">
        <f t="shared" si="6"/>
        <v>0.93790850746254628</v>
      </c>
      <c r="N58" s="159">
        <f t="shared" si="6"/>
        <v>0.99999999999999978</v>
      </c>
      <c r="O58" s="164"/>
    </row>
    <row r="59" spans="1:15">
      <c r="A59" s="214"/>
      <c r="B59" s="214"/>
      <c r="C59" s="214"/>
      <c r="D59" s="214"/>
      <c r="E59" s="214"/>
      <c r="F59" s="214"/>
      <c r="G59" s="214"/>
      <c r="H59" s="68"/>
      <c r="I59" s="202" t="s">
        <v>386</v>
      </c>
      <c r="J59" s="203"/>
      <c r="K59" s="203"/>
      <c r="L59" s="203"/>
      <c r="M59" s="203"/>
      <c r="N59" s="203"/>
      <c r="O59" s="204"/>
    </row>
    <row r="60" spans="1:15">
      <c r="A60" s="70"/>
      <c r="B60" s="91"/>
      <c r="C60" s="91"/>
      <c r="D60" s="91"/>
      <c r="E60" s="71"/>
      <c r="F60" s="91"/>
      <c r="G60" s="91"/>
      <c r="H60" s="68"/>
      <c r="I60" s="68"/>
      <c r="J60" s="68"/>
      <c r="K60" s="68"/>
      <c r="L60" s="68"/>
      <c r="M60" s="68"/>
      <c r="N60" s="68"/>
      <c r="O60" s="69"/>
    </row>
    <row r="61" spans="1:15">
      <c r="A61" s="72" t="s">
        <v>353</v>
      </c>
      <c r="B61" s="73"/>
      <c r="C61" s="91"/>
      <c r="D61" s="96"/>
      <c r="E61" s="74"/>
      <c r="F61" s="74"/>
      <c r="G61" s="74"/>
      <c r="H61" s="74"/>
      <c r="I61" s="74"/>
      <c r="J61" s="74" t="s">
        <v>354</v>
      </c>
      <c r="K61" s="74"/>
      <c r="L61" s="74"/>
      <c r="M61" s="74"/>
      <c r="N61" s="74"/>
      <c r="O61" s="75"/>
    </row>
    <row r="62" spans="1:15">
      <c r="A62" s="76" t="s">
        <v>355</v>
      </c>
      <c r="B62" s="73"/>
      <c r="C62" s="68"/>
      <c r="D62" s="96"/>
      <c r="E62" s="74"/>
      <c r="F62" s="74"/>
      <c r="G62" s="74"/>
      <c r="H62" s="74"/>
      <c r="I62" s="74"/>
      <c r="J62" s="74" t="s">
        <v>341</v>
      </c>
      <c r="K62" s="74"/>
      <c r="L62" s="74"/>
      <c r="M62" s="74"/>
      <c r="N62" s="74"/>
      <c r="O62" s="92"/>
    </row>
    <row r="63" spans="1:15" ht="13.5" thickBot="1">
      <c r="A63" s="95" t="s">
        <v>356</v>
      </c>
      <c r="B63" s="77"/>
      <c r="C63" s="78"/>
      <c r="D63" s="97"/>
      <c r="E63" s="93"/>
      <c r="F63" s="93"/>
      <c r="G63" s="93"/>
      <c r="H63" s="93"/>
      <c r="I63" s="93"/>
      <c r="J63" s="93" t="s">
        <v>357</v>
      </c>
      <c r="K63" s="93"/>
      <c r="L63" s="93"/>
      <c r="M63" s="93"/>
      <c r="N63" s="93"/>
      <c r="O63" s="94"/>
    </row>
  </sheetData>
  <mergeCells count="53">
    <mergeCell ref="A59:G59"/>
    <mergeCell ref="A49:A50"/>
    <mergeCell ref="B49:B50"/>
    <mergeCell ref="A51:A52"/>
    <mergeCell ref="B51:B52"/>
    <mergeCell ref="A53:A54"/>
    <mergeCell ref="B53:B54"/>
    <mergeCell ref="A47:A48"/>
    <mergeCell ref="B47:B48"/>
    <mergeCell ref="A55:A56"/>
    <mergeCell ref="B55:B56"/>
    <mergeCell ref="A57:A58"/>
    <mergeCell ref="B57:B58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3:A24"/>
    <mergeCell ref="B23:B24"/>
    <mergeCell ref="A25:A26"/>
    <mergeCell ref="B25:B26"/>
    <mergeCell ref="A27:A28"/>
    <mergeCell ref="B27:B28"/>
    <mergeCell ref="A1:O5"/>
    <mergeCell ref="A9:O9"/>
    <mergeCell ref="A6:O8"/>
    <mergeCell ref="I59:O59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</mergeCells>
  <pageMargins left="0.39370078740157483" right="0.39370078740157483" top="0.28999999999999998" bottom="0.16" header="0.43" footer="0.78740157480314965"/>
  <pageSetup paperSize="9" scale="59" firstPageNumber="0" orientation="landscape" horizontalDpi="300" verticalDpi="300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Trio_Office/6.2.8.2$Windows_x86 LibreOffice_project/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casa 42</vt:lpstr>
      <vt:lpstr>Planilha4 (2)</vt:lpstr>
      <vt:lpstr>'casa 42'!Area_de_impressao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ORÇAMENTÁRIA COM DESONERAÇÃO - VERSÃO 182 - ADOTADA PELO MUNICIPIO.xlsx</dc:title>
  <dc:creator>engenharia</dc:creator>
  <cp:lastModifiedBy>ana.biliato</cp:lastModifiedBy>
  <cp:revision>40</cp:revision>
  <cp:lastPrinted>2023-07-14T09:26:48Z</cp:lastPrinted>
  <dcterms:created xsi:type="dcterms:W3CDTF">2023-04-19T10:31:00Z</dcterms:created>
  <dcterms:modified xsi:type="dcterms:W3CDTF">2023-07-14T09:27:00Z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CV">
    <vt:lpwstr>3FC1A6B857774881B3B27F8EB4FFBE0D</vt:lpwstr>
  </property>
  <property fmtid="{D5CDD505-2E9C-101B-9397-08002B2CF9AE}" pid="6" name="KSOProductBuildVer">
    <vt:lpwstr>1033-11.2.0.11219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